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1970" windowHeight="6180" activeTab="0"/>
  </bookViews>
  <sheets>
    <sheet name="A" sheetId="1" r:id="rId1"/>
  </sheets>
  <definedNames>
    <definedName name="_xlnm.Print_Area" localSheetId="0">'A'!$A$1:$S$57</definedName>
  </definedNames>
  <calcPr fullCalcOnLoad="1"/>
</workbook>
</file>

<file path=xl/sharedStrings.xml><?xml version="1.0" encoding="utf-8"?>
<sst xmlns="http://schemas.openxmlformats.org/spreadsheetml/2006/main" count="148" uniqueCount="115">
  <si>
    <t>Calculations:</t>
  </si>
  <si>
    <t>|</t>
  </si>
  <si>
    <t>V</t>
  </si>
  <si>
    <t>&lt;--any format</t>
  </si>
  <si>
    <t>&lt;--optional</t>
  </si>
  <si>
    <t>&lt;--height in inches, or cm/2.54</t>
  </si>
  <si>
    <t>less than (lbs.)</t>
  </si>
  <si>
    <t>and up (lbs.)</t>
  </si>
  <si>
    <t>less than (kg)</t>
  </si>
  <si>
    <t>and up (kg)</t>
  </si>
  <si>
    <t>&lt;---for aerobic workout, stay in double-walled box</t>
  </si>
  <si>
    <t>A</t>
  </si>
  <si>
    <t>"Corrected" Polar watch</t>
  </si>
  <si>
    <t>http://kirtland.cc.mi.us/~balbachl/trainrat.htm</t>
  </si>
  <si>
    <t>http://home.earthlink.net/~vtg1/heartrain_faq.htm</t>
  </si>
  <si>
    <t>25 to 29.9</t>
  </si>
  <si>
    <t>&lt; 18.5</t>
  </si>
  <si>
    <t>Body Mass Index</t>
  </si>
  <si>
    <t xml:space="preserve">    Height (inches)</t>
  </si>
  <si>
    <t xml:space="preserve">    Weight (pounds)</t>
  </si>
  <si>
    <t xml:space="preserve">    Birthdate</t>
  </si>
  <si>
    <t xml:space="preserve">    Sex</t>
  </si>
  <si>
    <t xml:space="preserve">    Name</t>
  </si>
  <si>
    <t xml:space="preserve">   Your age</t>
  </si>
  <si>
    <t>lbs.</t>
  </si>
  <si>
    <t>Important info at http://home.hia.no/~stephens/exphys.htm</t>
  </si>
  <si>
    <t>&gt; 40</t>
  </si>
  <si>
    <t>30 to 39.9</t>
  </si>
  <si>
    <t>For kids:  www.cdc.gov/growthcharts</t>
  </si>
  <si>
    <t>Risk of disease:</t>
  </si>
  <si>
    <t xml:space="preserve">    Waist Size (in.)</t>
  </si>
  <si>
    <t>&lt;--waist size inches, or cm/2.54</t>
  </si>
  <si>
    <t>New gov't guidelines for adults:  www.consumer.gov/weightloss/bmi.htm</t>
  </si>
  <si>
    <t xml:space="preserve">  Risk of disease:  Extremely High</t>
  </si>
  <si>
    <t xml:space="preserve">        Always follow other provisos at disclaimer  http://home.earthlink.net/~vtg1/heartrain_faq.htm</t>
  </si>
  <si>
    <t xml:space="preserve">    Date of Analysis</t>
  </si>
  <si>
    <t xml:space="preserve">    Resting Heart Rate</t>
  </si>
  <si>
    <t xml:space="preserve">  Risk of disease:  High, or Very High (BMI&gt;35 or men waist&gt;40 or women waist&gt;35 in.)</t>
  </si>
  <si>
    <t xml:space="preserve">        This tool is for general information purposes only, and does not address particular circumstances.  It may not be right for you, and should not be relied upon for making decisions about your health.</t>
  </si>
  <si>
    <t xml:space="preserve">    Aerobic</t>
  </si>
  <si>
    <t xml:space="preserve">    Temperate</t>
  </si>
  <si>
    <t xml:space="preserve">    Healthy Heart</t>
  </si>
  <si>
    <t>80 90</t>
  </si>
  <si>
    <t xml:space="preserve"> 90 100</t>
  </si>
  <si>
    <t>70 80</t>
  </si>
  <si>
    <t>60 70</t>
  </si>
  <si>
    <t>50 60</t>
  </si>
  <si>
    <t xml:space="preserve">    Maximum Heart Rate</t>
  </si>
  <si>
    <t xml:space="preserve"> 0 50</t>
  </si>
  <si>
    <t>&lt;---for performance or interval training, can go up to dashed box</t>
  </si>
  <si>
    <t>&lt;--use yours if you know it, in consultation with your doctor, or as measured by professional trainer,  http://home.hia.no/~stephens/vo2max.htm</t>
  </si>
  <si>
    <t xml:space="preserve">   Target Heart Rate (THR) in beats per minute (bpm)</t>
  </si>
  <si>
    <r>
      <t>Enter your information in the</t>
    </r>
    <r>
      <rPr>
        <b/>
        <sz val="10"/>
        <color indexed="48"/>
        <rFont val="Verdana"/>
        <family val="2"/>
      </rPr>
      <t xml:space="preserve"> blue </t>
    </r>
    <r>
      <rPr>
        <b/>
        <sz val="10"/>
        <rFont val="Verdana"/>
        <family val="2"/>
      </rPr>
      <t>boxes below:</t>
    </r>
  </si>
  <si>
    <t xml:space="preserve">    Resting</t>
  </si>
  <si>
    <t xml:space="preserve">  Karvonen</t>
  </si>
  <si>
    <t xml:space="preserve">Dan Heil, UMass        </t>
  </si>
  <si>
    <t xml:space="preserve">    Redline (ease up!)</t>
  </si>
  <si>
    <t xml:space="preserve">    Anaerobic Threshold</t>
  </si>
  <si>
    <t xml:space="preserve">  A</t>
  </si>
  <si>
    <t xml:space="preserve">  |</t>
  </si>
  <si>
    <t xml:space="preserve">A           </t>
  </si>
  <si>
    <t xml:space="preserve">  |             </t>
  </si>
  <si>
    <t xml:space="preserve">      A</t>
  </si>
  <si>
    <t xml:space="preserve">      |</t>
  </si>
  <si>
    <t>Original work, new in this tool.</t>
  </si>
  <si>
    <t>&lt;---Age to set your Polar A3 (and above) heart rate monitor watch to be consistent with Karvonen (calculated with above max heart rate) near 85% heart rate.</t>
  </si>
  <si>
    <t>% of maximum</t>
  </si>
  <si>
    <t xml:space="preserve">        zone</t>
  </si>
  <si>
    <t xml:space="preserve">     Age-Predicted (Polar Watch)</t>
  </si>
  <si>
    <t xml:space="preserve">          A</t>
  </si>
  <si>
    <t xml:space="preserve">          |</t>
  </si>
  <si>
    <t>Karvonen calc w/above max</t>
  </si>
  <si>
    <t xml:space="preserve">          V</t>
  </si>
  <si>
    <t xml:space="preserve">  V</t>
  </si>
  <si>
    <t xml:space="preserve">  V             </t>
  </si>
  <si>
    <t xml:space="preserve">      V</t>
  </si>
  <si>
    <t xml:space="preserve">    "Heart Zone Training" by Sally Edwards, p. 20.  Similar, but somewhat different in "Precision Heart Rate Training," page 97.</t>
  </si>
  <si>
    <t>Enter value</t>
  </si>
  <si>
    <t>&lt;--weight in pounds, or kg*2.2</t>
  </si>
  <si>
    <t>&lt;--weight (kg)</t>
  </si>
  <si>
    <t>&lt;--height (cm)</t>
  </si>
  <si>
    <t>&lt;--waist size (cm)</t>
  </si>
  <si>
    <t>&lt;--beats per minute, use yours if you know it</t>
  </si>
  <si>
    <t xml:space="preserve">        Always consult your doctor for medical advice.  A paper copy of this may be a discussion starter for you with your doctor, gym trainer or other professional.</t>
  </si>
  <si>
    <t>&lt;---100% is estimate (±20 bpm) of maximum heart rate (can go higher, but not productively), or minimum heartrate to reach V02 max  http://home.hia.no/~stephens/vo2max.htm</t>
  </si>
  <si>
    <t>Spinning Instructor's Manual has elements of each</t>
  </si>
  <si>
    <t>For kids:  www.cdc.gov/nccdphp/dnpa/bmi/bmi-for-age.htm</t>
  </si>
  <si>
    <t>&lt;--weight (stone)</t>
  </si>
  <si>
    <t>&lt;--feet</t>
  </si>
  <si>
    <t>&lt;--inches</t>
  </si>
  <si>
    <t>&lt;--'F' for Female or 'M' for Male</t>
  </si>
  <si>
    <t>For risk of CardioVascular Disease, see http://www.nzgg.org.nz/library/gl_complete/bloodpressure/table1.cfm</t>
  </si>
  <si>
    <t>Cholesterol</t>
  </si>
  <si>
    <t>CardioVascular Disease Calculator</t>
  </si>
  <si>
    <t>Body Mass Index and Heart Rate Calculator.</t>
  </si>
  <si>
    <t>01/03/2004 Body fat percentage from http://go.microsoft.com/?linkid=369783</t>
  </si>
  <si>
    <t xml:space="preserve">   Fat (pounds) (est.)</t>
  </si>
  <si>
    <t>22.5 to 25</t>
  </si>
  <si>
    <t>&lt;---somewhat higher mortality than above;  optimum according to studies of desires of opposite sex</t>
  </si>
  <si>
    <t xml:space="preserve">  Risk of disease:  Increased 30% over normal, or High (men waist&gt;40, women waist&gt;35 in.)</t>
  </si>
  <si>
    <t xml:space="preserve">Mortality numbers:  www.thelancet.com/journals/lancet/article/PIIS0140-6736(09)60318-4/fulltext </t>
  </si>
  <si>
    <t>or</t>
  </si>
  <si>
    <t>kg.</t>
  </si>
  <si>
    <t>Mortality above Normal:</t>
  </si>
  <si>
    <t>Your Body Mass Index:</t>
  </si>
  <si>
    <t xml:space="preserve">    BMI</t>
  </si>
  <si>
    <t>Weight ranges:</t>
  </si>
  <si>
    <t>-30-</t>
  </si>
  <si>
    <t>18.5 to 22.5</t>
  </si>
  <si>
    <t xml:space="preserve">        Copyright © 2002-2009 by Suzy Ran and Eric Piehl.  Personal and non-commercial use freely permitted.  Commercial use must be licensed.</t>
  </si>
  <si>
    <t>Comments, contributions and requests always welcome at:  eric.piehl@gmail.com</t>
  </si>
  <si>
    <t>Release 1.0 Beta 11, 2009-11-30, still under construction.</t>
  </si>
  <si>
    <t>TODO: replace</t>
  </si>
  <si>
    <t>BMI mortality:   www.mindfully.org/Health/2003/Obesity-Life-Lost8jan03.htm</t>
  </si>
  <si>
    <r>
      <t>&lt;--</t>
    </r>
    <r>
      <rPr>
        <b/>
        <sz val="10"/>
        <rFont val="Verdana"/>
        <family val="2"/>
      </rPr>
      <t>-maximum lifespan, lowest mortality</t>
    </r>
    <r>
      <rPr>
        <sz val="10"/>
        <rFont val="Verdana"/>
        <family val="2"/>
      </rPr>
      <t>;  optimum according to studies of desires of opposite sex</t>
    </r>
  </si>
</sst>
</file>

<file path=xl/styles.xml><?xml version="1.0" encoding="utf-8"?>
<styleSheet xmlns="http://schemas.openxmlformats.org/spreadsheetml/2006/main">
  <numFmts count="20">
    <numFmt numFmtId="5" formatCode="&quot;US$&quot;#,##0_);\(&quot;US$&quot;#,##0\)"/>
    <numFmt numFmtId="6" formatCode="&quot;US$&quot;#,##0_);[Red]\(&quot;US$&quot;#,##0\)"/>
    <numFmt numFmtId="7" formatCode="&quot;US$&quot;#,##0.00_);\(&quot;US$&quot;#,##0.00\)"/>
    <numFmt numFmtId="8" formatCode="&quot;US$&quot;#,##0.00_);[Red]\(&quot;US$&quot;#,##0.00\)"/>
    <numFmt numFmtId="42" formatCode="_(&quot;US$&quot;* #,##0_);_(&quot;US$&quot;* \(#,##0\);_(&quot;US$&quot;* &quot;-&quot;_);_(@_)"/>
    <numFmt numFmtId="41" formatCode="_(* #,##0_);_(* \(#,##0\);_(* &quot;-&quot;_);_(@_)"/>
    <numFmt numFmtId="44" formatCode="_(&quot;US$&quot;* #,##0.00_);_(&quot;US$&quot;* \(#,##0.00\);_(&quot;US$&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mmmm\ d\,\ yyyy"/>
    <numFmt numFmtId="171" formatCode="0.0"/>
    <numFmt numFmtId="172" formatCode="mmmm\-yy"/>
    <numFmt numFmtId="173" formatCode="&quot;Yes&quot;;&quot;Yes&quot;;&quot;No&quot;"/>
    <numFmt numFmtId="174" formatCode="&quot;True&quot;;&quot;True&quot;;&quot;False&quot;"/>
    <numFmt numFmtId="175" formatCode="&quot;On&quot;;&quot;On&quot;;&quot;Off&quot;"/>
  </numFmts>
  <fonts count="21">
    <font>
      <sz val="10"/>
      <name val="Arial"/>
      <family val="0"/>
    </font>
    <font>
      <b/>
      <sz val="18"/>
      <name val="Arial"/>
      <family val="0"/>
    </font>
    <font>
      <b/>
      <sz val="12"/>
      <name val="Arial"/>
      <family val="0"/>
    </font>
    <font>
      <sz val="10"/>
      <name val="Comic Sans MS"/>
      <family val="0"/>
    </font>
    <font>
      <u val="single"/>
      <sz val="8.5"/>
      <color indexed="12"/>
      <name val="Arial"/>
      <family val="0"/>
    </font>
    <font>
      <u val="single"/>
      <sz val="8.5"/>
      <color indexed="36"/>
      <name val="Arial"/>
      <family val="0"/>
    </font>
    <font>
      <sz val="10"/>
      <name val="Verdana"/>
      <family val="2"/>
    </font>
    <font>
      <sz val="10"/>
      <color indexed="10"/>
      <name val="Verdana"/>
      <family val="2"/>
    </font>
    <font>
      <sz val="10"/>
      <color indexed="53"/>
      <name val="Verdana"/>
      <family val="2"/>
    </font>
    <font>
      <sz val="10"/>
      <color indexed="12"/>
      <name val="Verdana"/>
      <family val="2"/>
    </font>
    <font>
      <b/>
      <sz val="10"/>
      <color indexed="14"/>
      <name val="Verdana"/>
      <family val="2"/>
    </font>
    <font>
      <u val="single"/>
      <sz val="10"/>
      <color indexed="12"/>
      <name val="Verdana"/>
      <family val="2"/>
    </font>
    <font>
      <b/>
      <sz val="10"/>
      <name val="Verdana"/>
      <family val="2"/>
    </font>
    <font>
      <b/>
      <sz val="10"/>
      <color indexed="48"/>
      <name val="Verdana"/>
      <family val="2"/>
    </font>
    <font>
      <b/>
      <sz val="10"/>
      <color indexed="20"/>
      <name val="Verdana"/>
      <family val="2"/>
    </font>
    <font>
      <sz val="10"/>
      <color indexed="20"/>
      <name val="Verdana"/>
      <family val="2"/>
    </font>
    <font>
      <b/>
      <sz val="10"/>
      <color indexed="17"/>
      <name val="Verdana"/>
      <family val="2"/>
    </font>
    <font>
      <b/>
      <sz val="10"/>
      <color indexed="10"/>
      <name val="Verdana"/>
      <family val="2"/>
    </font>
    <font>
      <b/>
      <sz val="10"/>
      <color indexed="53"/>
      <name val="Verdana"/>
      <family val="2"/>
    </font>
    <font>
      <sz val="10"/>
      <color indexed="17"/>
      <name val="Verdana"/>
      <family val="2"/>
    </font>
    <font>
      <sz val="10"/>
      <color indexed="10"/>
      <name val="Arial"/>
      <family val="0"/>
    </font>
  </fonts>
  <fills count="4">
    <fill>
      <patternFill/>
    </fill>
    <fill>
      <patternFill patternType="gray125"/>
    </fill>
    <fill>
      <patternFill patternType="solid">
        <fgColor indexed="15"/>
        <bgColor indexed="64"/>
      </patternFill>
    </fill>
    <fill>
      <patternFill patternType="solid">
        <fgColor indexed="45"/>
        <bgColor indexed="64"/>
      </patternFill>
    </fill>
  </fills>
  <borders count="52">
    <border>
      <left/>
      <right/>
      <top/>
      <bottom/>
      <diagonal/>
    </border>
    <border>
      <left/>
      <right/>
      <top style="double"/>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thin"/>
    </border>
    <border>
      <left style="thin"/>
      <right style="thin"/>
      <top>
        <color indexed="63"/>
      </top>
      <bottom style="medium"/>
    </border>
    <border>
      <left style="thin"/>
      <right style="medium"/>
      <top>
        <color indexed="63"/>
      </top>
      <bottom style="medium"/>
    </border>
    <border>
      <left style="thin"/>
      <right style="thin"/>
      <top>
        <color indexed="63"/>
      </top>
      <bottom style="thin"/>
    </border>
    <border>
      <left style="thin"/>
      <right style="medium"/>
      <top>
        <color indexed="63"/>
      </top>
      <bottom style="thin"/>
    </border>
    <border>
      <left>
        <color indexed="63"/>
      </left>
      <right style="medium"/>
      <top style="thin"/>
      <bottom style="medium"/>
    </border>
    <border>
      <left style="medium"/>
      <right style="thin"/>
      <top style="medium"/>
      <bottom>
        <color indexed="63"/>
      </bottom>
    </border>
    <border>
      <left>
        <color indexed="63"/>
      </left>
      <right style="medium"/>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style="medium"/>
      <right style="thin"/>
      <top>
        <color indexed="63"/>
      </top>
      <bottom style="thin"/>
    </border>
    <border>
      <left>
        <color indexed="63"/>
      </left>
      <right style="medium"/>
      <top style="medium"/>
      <bottom style="medium"/>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double"/>
      <right>
        <color indexed="63"/>
      </right>
      <top style="double"/>
      <bottom style="thin"/>
    </border>
    <border>
      <left style="medium"/>
      <right style="thin"/>
      <top style="double"/>
      <bottom style="thin"/>
    </border>
    <border>
      <left style="thin"/>
      <right style="medium"/>
      <top style="double"/>
      <bottom style="thin"/>
    </border>
    <border>
      <left style="thin"/>
      <right style="double"/>
      <top style="double"/>
      <bottom style="thin"/>
    </border>
    <border>
      <left style="double"/>
      <right>
        <color indexed="63"/>
      </right>
      <top style="thin"/>
      <bottom style="thin"/>
    </border>
    <border>
      <left style="thin"/>
      <right style="double"/>
      <top style="thin"/>
      <bottom style="thin"/>
    </border>
    <border>
      <left style="double"/>
      <right>
        <color indexed="63"/>
      </right>
      <top style="thin"/>
      <bottom style="double"/>
    </border>
    <border>
      <left style="medium"/>
      <right style="thin"/>
      <top style="thin"/>
      <bottom style="double"/>
    </border>
    <border>
      <left style="thin"/>
      <right style="medium"/>
      <top style="thin"/>
      <bottom style="double"/>
    </border>
    <border>
      <left style="thin"/>
      <right style="double"/>
      <top style="thin"/>
      <bottom style="double"/>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lignment/>
      <protection/>
    </xf>
    <xf numFmtId="3" fontId="0" fillId="0" borderId="0">
      <alignment/>
      <protection/>
    </xf>
    <xf numFmtId="166" fontId="0" fillId="0" borderId="0">
      <alignment/>
      <protection/>
    </xf>
    <xf numFmtId="164" fontId="0" fillId="0" borderId="0">
      <alignment/>
      <protection/>
    </xf>
    <xf numFmtId="14" fontId="0" fillId="0" borderId="0">
      <alignment/>
      <protection/>
    </xf>
    <xf numFmtId="2" fontId="0" fillId="0" borderId="0">
      <alignment/>
      <protection/>
    </xf>
    <xf numFmtId="0" fontId="5" fillId="0" borderId="0" applyNumberFormat="0" applyFill="0" applyBorder="0" applyAlignment="0" applyProtection="0"/>
    <xf numFmtId="0" fontId="1" fillId="0" borderId="0">
      <alignment/>
      <protection/>
    </xf>
    <xf numFmtId="0" fontId="2" fillId="0" borderId="0">
      <alignment/>
      <protection/>
    </xf>
    <xf numFmtId="0" fontId="4" fillId="0" borderId="0" applyNumberFormat="0" applyFill="0" applyBorder="0" applyAlignment="0" applyProtection="0"/>
    <xf numFmtId="10" fontId="0" fillId="0" borderId="0">
      <alignment/>
      <protection/>
    </xf>
    <xf numFmtId="0" fontId="0" fillId="0" borderId="1">
      <alignment/>
      <protection/>
    </xf>
  </cellStyleXfs>
  <cellXfs count="180">
    <xf numFmtId="0" fontId="0" fillId="0" borderId="0" xfId="0" applyAlignment="1">
      <alignment/>
    </xf>
    <xf numFmtId="0" fontId="6" fillId="0" borderId="0" xfId="0" applyFont="1" applyAlignment="1">
      <alignment/>
    </xf>
    <xf numFmtId="1" fontId="6" fillId="0" borderId="0" xfId="0" applyNumberFormat="1" applyFont="1" applyAlignment="1">
      <alignment/>
    </xf>
    <xf numFmtId="0" fontId="6" fillId="0" borderId="0" xfId="0" applyFont="1" applyAlignment="1">
      <alignment horizontal="centerContinuous"/>
    </xf>
    <xf numFmtId="0" fontId="0" fillId="0" borderId="0" xfId="0" applyAlignment="1">
      <alignment horizontal="centerContinuous"/>
    </xf>
    <xf numFmtId="0" fontId="10"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Border="1" applyAlignment="1">
      <alignment wrapText="1"/>
    </xf>
    <xf numFmtId="0" fontId="6" fillId="0" borderId="0" xfId="0" applyFont="1" applyBorder="1" applyAlignment="1">
      <alignment wrapText="1"/>
    </xf>
    <xf numFmtId="0" fontId="11" fillId="0" borderId="0" xfId="24" applyFont="1" applyAlignment="1">
      <alignment/>
    </xf>
    <xf numFmtId="0" fontId="11" fillId="0" borderId="0" xfId="24" applyFont="1" applyBorder="1" applyAlignment="1">
      <alignment/>
    </xf>
    <xf numFmtId="0" fontId="6" fillId="0" borderId="0" xfId="0" applyFont="1" applyAlignment="1">
      <alignment horizontal="right"/>
    </xf>
    <xf numFmtId="0" fontId="6" fillId="0" borderId="0" xfId="0" applyFont="1" applyBorder="1" applyAlignment="1">
      <alignment/>
    </xf>
    <xf numFmtId="0" fontId="11" fillId="0" borderId="0" xfId="24" applyFont="1" applyBorder="1" applyAlignment="1">
      <alignment/>
    </xf>
    <xf numFmtId="0" fontId="6"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Border="1" applyAlignment="1">
      <alignment/>
    </xf>
    <xf numFmtId="171" fontId="6" fillId="0" borderId="0" xfId="0" applyNumberFormat="1" applyFont="1" applyBorder="1" applyAlignment="1">
      <alignment/>
    </xf>
    <xf numFmtId="0" fontId="6" fillId="0" borderId="0" xfId="0" applyFont="1" applyBorder="1" applyAlignment="1">
      <alignment/>
    </xf>
    <xf numFmtId="0" fontId="0" fillId="0" borderId="0" xfId="0" applyFont="1" applyAlignment="1">
      <alignment/>
    </xf>
    <xf numFmtId="0" fontId="6" fillId="0" borderId="0" xfId="0" applyFont="1" applyAlignment="1">
      <alignment horizontal="left"/>
    </xf>
    <xf numFmtId="1" fontId="6" fillId="0" borderId="0" xfId="0" applyNumberFormat="1" applyFont="1" applyAlignment="1">
      <alignment horizontal="left"/>
    </xf>
    <xf numFmtId="0" fontId="0" fillId="0" borderId="0" xfId="0" applyBorder="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Continuous"/>
    </xf>
    <xf numFmtId="0" fontId="11" fillId="0" borderId="2" xfId="24" applyFont="1" applyBorder="1" applyAlignment="1">
      <alignment/>
    </xf>
    <xf numFmtId="0" fontId="6" fillId="0" borderId="3" xfId="0" applyFont="1" applyBorder="1" applyAlignment="1">
      <alignment/>
    </xf>
    <xf numFmtId="0" fontId="0" fillId="0" borderId="3" xfId="0" applyBorder="1" applyAlignment="1">
      <alignment/>
    </xf>
    <xf numFmtId="0" fontId="0" fillId="0" borderId="4" xfId="0" applyBorder="1" applyAlignment="1">
      <alignment/>
    </xf>
    <xf numFmtId="0" fontId="6" fillId="0" borderId="5" xfId="0" applyFont="1" applyBorder="1" applyAlignment="1">
      <alignment/>
    </xf>
    <xf numFmtId="0" fontId="0" fillId="0" borderId="5" xfId="0" applyBorder="1" applyAlignment="1">
      <alignment/>
    </xf>
    <xf numFmtId="0" fontId="0" fillId="0" borderId="6" xfId="0" applyBorder="1" applyAlignment="1">
      <alignment/>
    </xf>
    <xf numFmtId="0" fontId="11" fillId="0" borderId="5" xfId="24" applyFont="1" applyBorder="1" applyAlignment="1">
      <alignment/>
    </xf>
    <xf numFmtId="0" fontId="11" fillId="0" borderId="0" xfId="24" applyFont="1" applyAlignment="1">
      <alignment/>
    </xf>
    <xf numFmtId="1" fontId="6" fillId="0" borderId="0" xfId="0" applyNumberFormat="1" applyFont="1" applyAlignment="1">
      <alignment/>
    </xf>
    <xf numFmtId="0" fontId="6" fillId="0" borderId="0" xfId="0" applyFont="1" applyAlignment="1">
      <alignment/>
    </xf>
    <xf numFmtId="0" fontId="15" fillId="0" borderId="0" xfId="0" applyFont="1" applyBorder="1" applyAlignment="1">
      <alignment/>
    </xf>
    <xf numFmtId="9" fontId="15" fillId="0" borderId="0" xfId="0" applyNumberFormat="1" applyFont="1" applyBorder="1" applyAlignment="1">
      <alignment/>
    </xf>
    <xf numFmtId="0" fontId="6" fillId="0" borderId="0" xfId="0" applyFont="1" applyBorder="1" applyAlignment="1">
      <alignment/>
    </xf>
    <xf numFmtId="0" fontId="11" fillId="0" borderId="0" xfId="24" applyFont="1" applyBorder="1" applyAlignment="1">
      <alignment/>
    </xf>
    <xf numFmtId="0" fontId="0" fillId="0" borderId="0" xfId="0" applyBorder="1" applyAlignment="1">
      <alignment/>
    </xf>
    <xf numFmtId="9" fontId="14" fillId="0" borderId="0" xfId="0" applyNumberFormat="1" applyFont="1" applyBorder="1" applyAlignment="1">
      <alignment/>
    </xf>
    <xf numFmtId="1" fontId="19" fillId="0" borderId="7" xfId="0" applyNumberFormat="1" applyFont="1" applyFill="1" applyBorder="1" applyAlignment="1">
      <alignment horizontal="right"/>
    </xf>
    <xf numFmtId="0" fontId="11" fillId="0" borderId="0" xfId="24" applyFont="1" applyBorder="1" applyAlignment="1">
      <alignment/>
    </xf>
    <xf numFmtId="0" fontId="12" fillId="0" borderId="0" xfId="0" applyFont="1" applyBorder="1" applyAlignment="1">
      <alignment/>
    </xf>
    <xf numFmtId="0" fontId="6" fillId="0" borderId="8" xfId="0" applyFont="1" applyBorder="1" applyAlignment="1">
      <alignment horizontal="left"/>
    </xf>
    <xf numFmtId="0" fontId="12" fillId="2" borderId="9" xfId="0" applyFont="1" applyFill="1" applyBorder="1" applyAlignment="1" applyProtection="1">
      <alignment horizontal="right"/>
      <protection locked="0"/>
    </xf>
    <xf numFmtId="0" fontId="6" fillId="0" borderId="10" xfId="0" applyFont="1" applyBorder="1" applyAlignment="1">
      <alignment horizontal="left"/>
    </xf>
    <xf numFmtId="0" fontId="12" fillId="2" borderId="11" xfId="0" applyFont="1" applyFill="1" applyBorder="1" applyAlignment="1" applyProtection="1">
      <alignment horizontal="right"/>
      <protection locked="0"/>
    </xf>
    <xf numFmtId="170" fontId="12" fillId="2" borderId="11" xfId="0" applyNumberFormat="1" applyFont="1" applyFill="1" applyBorder="1" applyAlignment="1" applyProtection="1">
      <alignment horizontal="right" shrinkToFit="1"/>
      <protection locked="0"/>
    </xf>
    <xf numFmtId="170" fontId="12" fillId="2" borderId="11" xfId="0" applyNumberFormat="1" applyFont="1" applyFill="1" applyBorder="1" applyAlignment="1" applyProtection="1">
      <alignment shrinkToFit="1"/>
      <protection locked="0"/>
    </xf>
    <xf numFmtId="1" fontId="12" fillId="2" borderId="11" xfId="0" applyNumberFormat="1" applyFont="1" applyFill="1" applyBorder="1" applyAlignment="1" applyProtection="1">
      <alignment horizontal="right"/>
      <protection locked="0"/>
    </xf>
    <xf numFmtId="0" fontId="6" fillId="0" borderId="10" xfId="0" applyFont="1" applyBorder="1" applyAlignment="1">
      <alignment/>
    </xf>
    <xf numFmtId="0" fontId="12" fillId="2" borderId="11" xfId="0" applyFont="1" applyFill="1" applyBorder="1" applyAlignment="1" applyProtection="1">
      <alignment/>
      <protection locked="0"/>
    </xf>
    <xf numFmtId="0" fontId="6" fillId="0" borderId="12" xfId="0" applyFont="1" applyBorder="1" applyAlignment="1">
      <alignment horizontal="left"/>
    </xf>
    <xf numFmtId="1" fontId="12" fillId="2" borderId="13" xfId="0" applyNumberFormat="1" applyFont="1" applyFill="1" applyBorder="1" applyAlignment="1" applyProtection="1">
      <alignment/>
      <protection locked="0"/>
    </xf>
    <xf numFmtId="0" fontId="6" fillId="0" borderId="0" xfId="0" applyFont="1" applyBorder="1" applyAlignment="1">
      <alignment/>
    </xf>
    <xf numFmtId="0" fontId="6" fillId="0" borderId="14" xfId="0" applyFont="1" applyBorder="1" applyAlignment="1">
      <alignment/>
    </xf>
    <xf numFmtId="1" fontId="6" fillId="3" borderId="15" xfId="0" applyNumberFormat="1" applyFont="1" applyFill="1" applyBorder="1" applyAlignment="1">
      <alignment horizontal="right"/>
    </xf>
    <xf numFmtId="0" fontId="6" fillId="0" borderId="15" xfId="0" applyFont="1" applyBorder="1" applyAlignment="1">
      <alignment/>
    </xf>
    <xf numFmtId="9" fontId="12" fillId="3" borderId="16" xfId="0" applyNumberFormat="1" applyFont="1" applyFill="1" applyBorder="1" applyAlignment="1">
      <alignment horizontal="center"/>
    </xf>
    <xf numFmtId="9" fontId="12" fillId="0" borderId="17" xfId="0" applyNumberFormat="1" applyFont="1" applyBorder="1" applyAlignment="1">
      <alignment/>
    </xf>
    <xf numFmtId="0" fontId="6" fillId="0" borderId="18" xfId="0" applyFont="1" applyBorder="1" applyAlignment="1">
      <alignment/>
    </xf>
    <xf numFmtId="0" fontId="6" fillId="0" borderId="19" xfId="0" applyFont="1" applyBorder="1" applyAlignment="1">
      <alignment/>
    </xf>
    <xf numFmtId="0" fontId="6" fillId="0" borderId="20" xfId="0" applyFont="1" applyBorder="1" applyAlignment="1">
      <alignment horizontal="left"/>
    </xf>
    <xf numFmtId="171" fontId="12" fillId="3" borderId="6" xfId="0" applyNumberFormat="1" applyFont="1" applyFill="1" applyBorder="1" applyAlignment="1">
      <alignment horizontal="center"/>
    </xf>
    <xf numFmtId="0" fontId="6" fillId="0" borderId="21" xfId="0" applyFont="1" applyBorder="1" applyAlignment="1">
      <alignment/>
    </xf>
    <xf numFmtId="0" fontId="12" fillId="0" borderId="21" xfId="0" applyFont="1" applyBorder="1" applyAlignment="1">
      <alignment horizontal="center"/>
    </xf>
    <xf numFmtId="0" fontId="11" fillId="0" borderId="22" xfId="24" applyFont="1" applyBorder="1" applyAlignment="1">
      <alignment/>
    </xf>
    <xf numFmtId="0" fontId="6" fillId="0" borderId="23" xfId="0" applyFont="1" applyBorder="1" applyAlignment="1">
      <alignment/>
    </xf>
    <xf numFmtId="0" fontId="12" fillId="3" borderId="24" xfId="0" applyFont="1" applyFill="1" applyBorder="1" applyAlignment="1">
      <alignment/>
    </xf>
    <xf numFmtId="0" fontId="6" fillId="0" borderId="0" xfId="0" applyFont="1" applyBorder="1" applyAlignment="1">
      <alignment/>
    </xf>
    <xf numFmtId="0" fontId="0" fillId="0" borderId="22" xfId="0" applyFont="1" applyBorder="1" applyAlignment="1">
      <alignment/>
    </xf>
    <xf numFmtId="0" fontId="0" fillId="0" borderId="23" xfId="0" applyBorder="1" applyAlignment="1">
      <alignment/>
    </xf>
    <xf numFmtId="0" fontId="12" fillId="3" borderId="9" xfId="0" applyFont="1" applyFill="1" applyBorder="1" applyAlignment="1">
      <alignment/>
    </xf>
    <xf numFmtId="0" fontId="6" fillId="0" borderId="25" xfId="0" applyFont="1" applyBorder="1" applyAlignment="1">
      <alignment/>
    </xf>
    <xf numFmtId="0" fontId="6" fillId="0" borderId="26" xfId="0" applyFont="1" applyBorder="1" applyAlignment="1">
      <alignment/>
    </xf>
    <xf numFmtId="0" fontId="14" fillId="0" borderId="22" xfId="0" applyFont="1" applyBorder="1" applyAlignment="1">
      <alignment/>
    </xf>
    <xf numFmtId="0" fontId="6" fillId="0" borderId="0" xfId="0" applyFont="1" applyFill="1" applyBorder="1" applyAlignment="1">
      <alignment/>
    </xf>
    <xf numFmtId="0" fontId="6" fillId="0" borderId="0" xfId="0" applyFont="1" applyBorder="1" applyAlignment="1">
      <alignment/>
    </xf>
    <xf numFmtId="1" fontId="7" fillId="0" borderId="14" xfId="0" applyNumberFormat="1" applyFont="1" applyBorder="1" applyAlignment="1">
      <alignment horizontal="right"/>
    </xf>
    <xf numFmtId="1" fontId="7" fillId="0" borderId="14" xfId="0" applyNumberFormat="1" applyFont="1" applyBorder="1" applyAlignment="1">
      <alignment horizontal="left"/>
    </xf>
    <xf numFmtId="0" fontId="17" fillId="0" borderId="14" xfId="0" applyFont="1" applyBorder="1" applyAlignment="1">
      <alignment horizontal="left"/>
    </xf>
    <xf numFmtId="0" fontId="17" fillId="0" borderId="11" xfId="0" applyFont="1" applyBorder="1" applyAlignment="1">
      <alignment horizontal="left"/>
    </xf>
    <xf numFmtId="1" fontId="8" fillId="0" borderId="14" xfId="0" applyNumberFormat="1" applyFont="1" applyBorder="1" applyAlignment="1">
      <alignment horizontal="right"/>
    </xf>
    <xf numFmtId="1" fontId="8" fillId="0" borderId="14" xfId="0" applyNumberFormat="1" applyFont="1" applyBorder="1" applyAlignment="1">
      <alignment horizontal="left"/>
    </xf>
    <xf numFmtId="0" fontId="18" fillId="0" borderId="14" xfId="0" applyFont="1" applyBorder="1" applyAlignment="1">
      <alignment horizontal="left"/>
    </xf>
    <xf numFmtId="0" fontId="18" fillId="0" borderId="11" xfId="0" applyFont="1" applyBorder="1" applyAlignment="1">
      <alignment horizontal="left"/>
    </xf>
    <xf numFmtId="1" fontId="16" fillId="0" borderId="14" xfId="0" applyNumberFormat="1" applyFont="1" applyBorder="1" applyAlignment="1">
      <alignment horizontal="right"/>
    </xf>
    <xf numFmtId="1" fontId="16" fillId="0" borderId="14" xfId="0" applyNumberFormat="1" applyFont="1" applyBorder="1" applyAlignment="1">
      <alignment horizontal="left"/>
    </xf>
    <xf numFmtId="0" fontId="16" fillId="0" borderId="14" xfId="0" applyFont="1" applyBorder="1" applyAlignment="1">
      <alignment horizontal="left"/>
    </xf>
    <xf numFmtId="0" fontId="16" fillId="0" borderId="11" xfId="0" applyFont="1" applyBorder="1" applyAlignment="1">
      <alignment horizontal="left"/>
    </xf>
    <xf numFmtId="1" fontId="19" fillId="0" borderId="14" xfId="0" applyNumberFormat="1" applyFont="1" applyBorder="1" applyAlignment="1">
      <alignment horizontal="right"/>
    </xf>
    <xf numFmtId="1" fontId="19" fillId="0" borderId="14" xfId="0" applyNumberFormat="1" applyFont="1" applyBorder="1" applyAlignment="1">
      <alignment horizontal="left"/>
    </xf>
    <xf numFmtId="0" fontId="19" fillId="0" borderId="14" xfId="0" applyFont="1" applyBorder="1" applyAlignment="1">
      <alignment horizontal="left"/>
    </xf>
    <xf numFmtId="0" fontId="19" fillId="0" borderId="11" xfId="0" applyFont="1" applyBorder="1" applyAlignment="1">
      <alignment horizontal="left"/>
    </xf>
    <xf numFmtId="1" fontId="9" fillId="0" borderId="15" xfId="0" applyNumberFormat="1" applyFont="1" applyBorder="1" applyAlignment="1">
      <alignment horizontal="right"/>
    </xf>
    <xf numFmtId="1" fontId="9" fillId="0" borderId="15" xfId="0" applyNumberFormat="1" applyFont="1" applyBorder="1" applyAlignment="1">
      <alignment horizontal="left"/>
    </xf>
    <xf numFmtId="0" fontId="9" fillId="0" borderId="15" xfId="0" applyFont="1" applyBorder="1" applyAlignment="1">
      <alignment horizontal="left"/>
    </xf>
    <xf numFmtId="0" fontId="9" fillId="0" borderId="13" xfId="0" applyFont="1" applyBorder="1" applyAlignment="1">
      <alignment horizontal="left"/>
    </xf>
    <xf numFmtId="1" fontId="7" fillId="0" borderId="27" xfId="0" applyNumberFormat="1" applyFont="1" applyBorder="1" applyAlignment="1">
      <alignment horizontal="right"/>
    </xf>
    <xf numFmtId="1" fontId="7" fillId="0" borderId="27" xfId="0" applyNumberFormat="1" applyFont="1" applyBorder="1" applyAlignment="1">
      <alignment horizontal="left"/>
    </xf>
    <xf numFmtId="0" fontId="17" fillId="0" borderId="27" xfId="0" applyFont="1" applyBorder="1" applyAlignment="1">
      <alignment horizontal="left"/>
    </xf>
    <xf numFmtId="0" fontId="17" fillId="0" borderId="28" xfId="0" applyFont="1" applyBorder="1" applyAlignment="1">
      <alignment horizontal="left"/>
    </xf>
    <xf numFmtId="1" fontId="19" fillId="0" borderId="22" xfId="0" applyNumberFormat="1" applyFont="1" applyFill="1" applyBorder="1" applyAlignment="1">
      <alignment horizontal="right"/>
    </xf>
    <xf numFmtId="0" fontId="6" fillId="0" borderId="23" xfId="0" applyFont="1" applyFill="1" applyBorder="1" applyAlignment="1">
      <alignment/>
    </xf>
    <xf numFmtId="1" fontId="19" fillId="0" borderId="23" xfId="0" applyNumberFormat="1" applyFont="1" applyFill="1" applyBorder="1" applyAlignment="1">
      <alignment horizontal="right"/>
    </xf>
    <xf numFmtId="9" fontId="15" fillId="0" borderId="23" xfId="0" applyNumberFormat="1" applyFont="1" applyBorder="1" applyAlignment="1">
      <alignment/>
    </xf>
    <xf numFmtId="171" fontId="12" fillId="0" borderId="9" xfId="0" applyNumberFormat="1" applyFont="1" applyBorder="1" applyAlignment="1">
      <alignment horizontal="center"/>
    </xf>
    <xf numFmtId="1" fontId="6" fillId="3" borderId="29" xfId="0" applyNumberFormat="1" applyFont="1" applyFill="1" applyBorder="1" applyAlignment="1">
      <alignment horizontal="center"/>
    </xf>
    <xf numFmtId="0" fontId="6" fillId="0" borderId="30" xfId="0" applyFont="1" applyBorder="1" applyAlignment="1">
      <alignment/>
    </xf>
    <xf numFmtId="0" fontId="6" fillId="0" borderId="31" xfId="0" applyFont="1" applyBorder="1" applyAlignment="1">
      <alignment/>
    </xf>
    <xf numFmtId="0" fontId="6" fillId="0" borderId="0" xfId="0" applyFont="1" applyBorder="1" applyAlignment="1">
      <alignment/>
    </xf>
    <xf numFmtId="0" fontId="6" fillId="0" borderId="0" xfId="0" applyFont="1" applyBorder="1" applyAlignment="1">
      <alignment horizontal="left"/>
    </xf>
    <xf numFmtId="0" fontId="6" fillId="0" borderId="0" xfId="0" applyFont="1" applyBorder="1" applyAlignment="1">
      <alignment horizontal="centerContinuous"/>
    </xf>
    <xf numFmtId="0" fontId="0" fillId="0" borderId="0" xfId="0" applyBorder="1" applyAlignment="1">
      <alignment horizontal="centerContinuous"/>
    </xf>
    <xf numFmtId="1" fontId="16" fillId="0" borderId="11" xfId="0" applyFont="1" applyBorder="1" applyAlignment="1">
      <alignment horizontal="left" shrinkToFit="1"/>
    </xf>
    <xf numFmtId="0" fontId="11" fillId="0" borderId="0" xfId="24" applyFont="1" applyBorder="1" applyAlignment="1">
      <alignment/>
    </xf>
    <xf numFmtId="0" fontId="6" fillId="0" borderId="0" xfId="0" applyFont="1" applyBorder="1" applyAlignment="1">
      <alignment/>
    </xf>
    <xf numFmtId="0" fontId="6" fillId="0" borderId="32" xfId="0" applyFont="1" applyBorder="1" applyAlignment="1">
      <alignment/>
    </xf>
    <xf numFmtId="9" fontId="6" fillId="0" borderId="33" xfId="0" applyFont="1" applyBorder="1" applyAlignment="1">
      <alignment/>
    </xf>
    <xf numFmtId="0" fontId="6" fillId="0" borderId="34" xfId="0" applyFont="1" applyBorder="1" applyAlignment="1">
      <alignment/>
    </xf>
    <xf numFmtId="1" fontId="7" fillId="0" borderId="28" xfId="0" applyFont="1" applyBorder="1" applyAlignment="1">
      <alignment horizontal="left" shrinkToFit="1"/>
    </xf>
    <xf numFmtId="0" fontId="6" fillId="2" borderId="34" xfId="0" applyFont="1" applyFill="1" applyBorder="1" applyAlignment="1">
      <alignment horizontal="centerContinuous" wrapText="1"/>
    </xf>
    <xf numFmtId="0" fontId="9" fillId="0" borderId="17" xfId="0" applyFont="1" applyBorder="1" applyAlignment="1">
      <alignment horizontal="center"/>
    </xf>
    <xf numFmtId="9" fontId="6" fillId="0" borderId="21" xfId="0" applyFont="1" applyBorder="1" applyAlignment="1">
      <alignment horizontal="left"/>
    </xf>
    <xf numFmtId="1" fontId="7" fillId="0" borderId="20" xfId="0" applyFont="1" applyBorder="1" applyAlignment="1">
      <alignment/>
    </xf>
    <xf numFmtId="1" fontId="8" fillId="0" borderId="18" xfId="0" applyFont="1" applyBorder="1" applyAlignment="1">
      <alignment/>
    </xf>
    <xf numFmtId="1" fontId="9" fillId="0" borderId="19" xfId="0" applyNumberFormat="1" applyFont="1" applyBorder="1" applyAlignment="1">
      <alignment/>
    </xf>
    <xf numFmtId="9" fontId="6" fillId="0" borderId="35" xfId="0" applyFont="1" applyBorder="1" applyAlignment="1">
      <alignment horizontal="center"/>
    </xf>
    <xf numFmtId="9" fontId="7" fillId="0" borderId="5" xfId="0" applyFont="1" applyBorder="1" applyAlignment="1">
      <alignment horizontal="center"/>
    </xf>
    <xf numFmtId="0" fontId="6" fillId="0" borderId="32" xfId="0" applyFont="1" applyBorder="1" applyAlignment="1">
      <alignment horizontal="centerContinuous"/>
    </xf>
    <xf numFmtId="0" fontId="6" fillId="0" borderId="34" xfId="0" applyFont="1" applyBorder="1" applyAlignment="1">
      <alignment horizontal="centerContinuous"/>
    </xf>
    <xf numFmtId="1" fontId="7" fillId="0" borderId="36" xfId="0" applyFont="1" applyBorder="1" applyAlignment="1">
      <alignment horizontal="right" shrinkToFit="1"/>
    </xf>
    <xf numFmtId="1" fontId="16" fillId="0" borderId="10" xfId="0" applyFont="1" applyBorder="1" applyAlignment="1">
      <alignment horizontal="right" shrinkToFit="1"/>
    </xf>
    <xf numFmtId="0" fontId="6" fillId="0" borderId="32" xfId="0" applyFont="1" applyBorder="1" applyAlignment="1">
      <alignment horizontal="centerContinuous" wrapText="1"/>
    </xf>
    <xf numFmtId="0" fontId="6" fillId="0" borderId="34" xfId="0" applyFont="1" applyBorder="1" applyAlignment="1">
      <alignment horizontal="centerContinuous" wrapText="1"/>
    </xf>
    <xf numFmtId="0" fontId="6" fillId="3" borderId="32" xfId="0" applyFont="1" applyFill="1" applyBorder="1" applyAlignment="1">
      <alignment horizontal="centerContinuous" wrapText="1"/>
    </xf>
    <xf numFmtId="0" fontId="6" fillId="3" borderId="34" xfId="0" applyFont="1" applyFill="1" applyBorder="1" applyAlignment="1">
      <alignment horizontal="centerContinuous" wrapText="1"/>
    </xf>
    <xf numFmtId="0" fontId="6" fillId="2" borderId="32" xfId="0" applyFont="1" applyFill="1" applyBorder="1" applyAlignment="1">
      <alignment horizontal="centerContinuous" wrapText="1"/>
    </xf>
    <xf numFmtId="171" fontId="12" fillId="0" borderId="37" xfId="0" applyNumberFormat="1" applyFont="1" applyBorder="1" applyAlignment="1">
      <alignment horizontal="center"/>
    </xf>
    <xf numFmtId="0" fontId="6" fillId="0" borderId="21" xfId="0" applyFont="1" applyBorder="1" applyAlignment="1">
      <alignment/>
    </xf>
    <xf numFmtId="0" fontId="7" fillId="0" borderId="16" xfId="0" applyFont="1" applyBorder="1" applyAlignment="1">
      <alignment horizontal="center"/>
    </xf>
    <xf numFmtId="0" fontId="8" fillId="0" borderId="16" xfId="0" applyFont="1" applyBorder="1" applyAlignment="1">
      <alignment horizontal="center"/>
    </xf>
    <xf numFmtId="0" fontId="16" fillId="0" borderId="16" xfId="0" applyFont="1" applyBorder="1" applyAlignment="1">
      <alignment horizontal="center" shrinkToFit="1"/>
    </xf>
    <xf numFmtId="0" fontId="19" fillId="0" borderId="16" xfId="0" applyFont="1" applyBorder="1" applyAlignment="1">
      <alignment horizontal="center" shrinkToFit="1"/>
    </xf>
    <xf numFmtId="0" fontId="7" fillId="0" borderId="18" xfId="0" applyFont="1" applyBorder="1" applyAlignment="1">
      <alignment horizontal="left"/>
    </xf>
    <xf numFmtId="0" fontId="8" fillId="0" borderId="18" xfId="0" applyFont="1" applyBorder="1" applyAlignment="1">
      <alignment horizontal="left"/>
    </xf>
    <xf numFmtId="0" fontId="16" fillId="0" borderId="18" xfId="0" applyFont="1" applyBorder="1" applyAlignment="1">
      <alignment horizontal="left"/>
    </xf>
    <xf numFmtId="0" fontId="19" fillId="0" borderId="18" xfId="0" applyFont="1" applyBorder="1" applyAlignment="1">
      <alignment horizontal="left"/>
    </xf>
    <xf numFmtId="0" fontId="9" fillId="0" borderId="19" xfId="0" applyFont="1" applyBorder="1" applyAlignment="1">
      <alignment horizontal="left"/>
    </xf>
    <xf numFmtId="0" fontId="7" fillId="0" borderId="20" xfId="0" applyFont="1" applyBorder="1" applyAlignment="1">
      <alignment horizontal="left"/>
    </xf>
    <xf numFmtId="0" fontId="7" fillId="0" borderId="6" xfId="0" applyFont="1" applyBorder="1" applyAlignment="1">
      <alignment horizontal="center"/>
    </xf>
    <xf numFmtId="0" fontId="6" fillId="0" borderId="37" xfId="0" applyFont="1" applyBorder="1" applyAlignment="1">
      <alignment horizontal="center"/>
    </xf>
    <xf numFmtId="0" fontId="16" fillId="0" borderId="38" xfId="0" applyFont="1" applyBorder="1" applyAlignment="1">
      <alignment/>
    </xf>
    <xf numFmtId="1" fontId="16" fillId="0" borderId="38" xfId="0" applyNumberFormat="1" applyFont="1" applyBorder="1" applyAlignment="1">
      <alignment/>
    </xf>
    <xf numFmtId="1" fontId="9" fillId="0" borderId="38" xfId="0" applyNumberFormat="1" applyFont="1" applyBorder="1" applyAlignment="1">
      <alignment/>
    </xf>
    <xf numFmtId="9" fontId="8" fillId="0" borderId="3" xfId="0" applyFont="1" applyBorder="1" applyAlignment="1">
      <alignment horizontal="center"/>
    </xf>
    <xf numFmtId="1" fontId="8" fillId="0" borderId="39" xfId="0" applyFont="1" applyBorder="1" applyAlignment="1">
      <alignment horizontal="right" shrinkToFit="1"/>
    </xf>
    <xf numFmtId="1" fontId="8" fillId="0" borderId="40" xfId="0" applyFont="1" applyBorder="1" applyAlignment="1">
      <alignment horizontal="left" shrinkToFit="1"/>
    </xf>
    <xf numFmtId="0" fontId="9" fillId="0" borderId="23" xfId="0" applyFont="1" applyBorder="1" applyAlignment="1">
      <alignment horizontal="center"/>
    </xf>
    <xf numFmtId="1" fontId="9" fillId="0" borderId="41" xfId="0" applyFont="1" applyBorder="1" applyAlignment="1">
      <alignment horizontal="right" shrinkToFit="1"/>
    </xf>
    <xf numFmtId="1" fontId="9" fillId="0" borderId="26" xfId="0" applyFont="1" applyBorder="1" applyAlignment="1">
      <alignment horizontal="left" shrinkToFit="1"/>
    </xf>
    <xf numFmtId="0" fontId="16" fillId="0" borderId="42" xfId="0" applyFont="1" applyBorder="1" applyAlignment="1">
      <alignment horizontal="center"/>
    </xf>
    <xf numFmtId="1" fontId="16" fillId="0" borderId="43" xfId="0" applyFont="1" applyBorder="1" applyAlignment="1">
      <alignment horizontal="right" shrinkToFit="1"/>
    </xf>
    <xf numFmtId="1" fontId="16" fillId="0" borderId="44" xfId="0" applyFont="1" applyBorder="1" applyAlignment="1">
      <alignment horizontal="left" shrinkToFit="1"/>
    </xf>
    <xf numFmtId="1" fontId="16" fillId="0" borderId="45" xfId="0" applyFont="1" applyBorder="1" applyAlignment="1">
      <alignment horizontal="left" shrinkToFit="1"/>
    </xf>
    <xf numFmtId="0" fontId="16" fillId="0" borderId="46" xfId="0" applyFont="1" applyBorder="1" applyAlignment="1">
      <alignment horizontal="center"/>
    </xf>
    <xf numFmtId="1" fontId="16" fillId="0" borderId="47" xfId="0" applyFont="1" applyBorder="1" applyAlignment="1">
      <alignment horizontal="left" shrinkToFit="1"/>
    </xf>
    <xf numFmtId="0" fontId="9" fillId="0" borderId="48" xfId="0" applyFont="1" applyBorder="1" applyAlignment="1">
      <alignment horizontal="center"/>
    </xf>
    <xf numFmtId="1" fontId="9" fillId="0" borderId="49" xfId="0" applyFont="1" applyBorder="1" applyAlignment="1">
      <alignment horizontal="right" shrinkToFit="1"/>
    </xf>
    <xf numFmtId="1" fontId="9" fillId="0" borderId="50" xfId="0" applyFont="1" applyBorder="1" applyAlignment="1">
      <alignment horizontal="left" shrinkToFit="1"/>
    </xf>
    <xf numFmtId="1" fontId="9" fillId="0" borderId="51" xfId="0" applyFont="1" applyBorder="1" applyAlignment="1">
      <alignment horizontal="left" shrinkToFit="1"/>
    </xf>
    <xf numFmtId="0" fontId="0" fillId="0" borderId="0" xfId="0" applyAlignment="1" quotePrefix="1">
      <alignment/>
    </xf>
    <xf numFmtId="0" fontId="7" fillId="0" borderId="0" xfId="0" applyFont="1" applyAlignment="1">
      <alignment/>
    </xf>
    <xf numFmtId="0" fontId="20" fillId="0" borderId="0" xfId="0" applyFont="1" applyBorder="1" applyAlignment="1">
      <alignment/>
    </xf>
  </cellXfs>
  <cellStyles count="13">
    <cellStyle name="Normal" xfId="0"/>
    <cellStyle name="Comma" xfId="15"/>
    <cellStyle name="Comma0" xfId="16"/>
    <cellStyle name="Currency" xfId="17"/>
    <cellStyle name="Currency0" xfId="18"/>
    <cellStyle name="Date" xfId="19"/>
    <cellStyle name="Fixed" xfId="20"/>
    <cellStyle name="Followed Hyperlink" xfId="21"/>
    <cellStyle name="Heading 1" xfId="22"/>
    <cellStyle name="Heading 2" xfId="23"/>
    <cellStyle name="Hyperlink" xfId="24"/>
    <cellStyle name="Percent" xfId="25"/>
    <cellStyle name="Total"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home.earthlink.net/~vtg1/heartrain_faq.htm" TargetMode="External" /><Relationship Id="rId2" Type="http://schemas.openxmlformats.org/officeDocument/2006/relationships/hyperlink" Target="http://www.cdc.gov/growthcharts" TargetMode="External" /><Relationship Id="rId3" Type="http://schemas.openxmlformats.org/officeDocument/2006/relationships/hyperlink" Target="http://www.consumer.gov/weightloss/bmi.htm" TargetMode="External" /><Relationship Id="rId4" Type="http://schemas.openxmlformats.org/officeDocument/2006/relationships/hyperlink" Target="http://home.hia.no/~stephens/vo2max.htm" TargetMode="External" /><Relationship Id="rId5" Type="http://schemas.openxmlformats.org/officeDocument/2006/relationships/hyperlink" Target="http://home.hia.no/~stephens/exphys.htm" TargetMode="External" /><Relationship Id="rId6" Type="http://schemas.openxmlformats.org/officeDocument/2006/relationships/hyperlink" Target="http://home.hia.no/~stephens/vo2max.htm" TargetMode="External" /><Relationship Id="rId7" Type="http://schemas.openxmlformats.org/officeDocument/2006/relationships/hyperlink" Target="http://home.hia.no/~stephens/exphys.htm" TargetMode="External" /><Relationship Id="rId8" Type="http://schemas.openxmlformats.org/officeDocument/2006/relationships/hyperlink" Target="http://home.hia.no/~stephens/vo2max.htm" TargetMode="External" /><Relationship Id="rId9" Type="http://schemas.openxmlformats.org/officeDocument/2006/relationships/hyperlink" Target="http://home.hia.no/~stephens/exphys.htm" TargetMode="External" /><Relationship Id="rId10" Type="http://schemas.openxmlformats.org/officeDocument/2006/relationships/hyperlink" Target="http://www.spinning.com/" TargetMode="External" /><Relationship Id="rId11" Type="http://schemas.openxmlformats.org/officeDocument/2006/relationships/hyperlink" Target="http://www.cdc.gov/nccdphp/dnpa/bmi/bmi-for-age.htm" TargetMode="External" /><Relationship Id="rId12" Type="http://schemas.openxmlformats.org/officeDocument/2006/relationships/hyperlink" Target="http://www.nzgg.org.nz/library/gl_complete/bloodpressure/table1.cfm" TargetMode="External" /><Relationship Id="rId13" Type="http://schemas.openxmlformats.org/officeDocument/2006/relationships/hyperlink" Target="http://www.nhlbi.nih.gov/guidelines/cholesterol" TargetMode="External" /><Relationship Id="rId14" Type="http://schemas.openxmlformats.org/officeDocument/2006/relationships/hyperlink" Target="http://www.riskscore.org.uk/" TargetMode="External" /><Relationship Id="rId15" Type="http://schemas.openxmlformats.org/officeDocument/2006/relationships/hyperlink" Target="http://go.microsoft.com/?linkid=369783" TargetMode="External" /><Relationship Id="rId16" Type="http://schemas.openxmlformats.org/officeDocument/2006/relationships/hyperlink" Target="http://www.thelancet.com/journals/lancet/article/PIIS0140-6736(09)60318-4/fulltext" TargetMode="External" /><Relationship Id="rId17" Type="http://schemas.openxmlformats.org/officeDocument/2006/relationships/hyperlink" Target="mailto:eric.piehl@gmail.com?subject=Comments%20on%20pulse.xls" TargetMode="External" /><Relationship Id="rId18" Type="http://schemas.openxmlformats.org/officeDocument/2006/relationships/hyperlink" Target="http://www.mindfully.org/Health/2003/Obesity-Life-Lost8jan03.htm" TargetMode="External" /><Relationship Id="rId1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1"/>
  <sheetViews>
    <sheetView tabSelected="1" view="pageBreakPreview" zoomScale="145" zoomScaleNormal="85" zoomScaleSheetLayoutView="145" workbookViewId="0" topLeftCell="A1">
      <selection activeCell="B22" sqref="B22"/>
    </sheetView>
  </sheetViews>
  <sheetFormatPr defaultColWidth="9.140625" defaultRowHeight="12.75"/>
  <cols>
    <col min="1" max="1" width="23.57421875" style="0" customWidth="1"/>
    <col min="2" max="2" width="19.00390625" style="0" customWidth="1"/>
    <col min="3" max="3" width="18.28125" style="0" customWidth="1"/>
    <col min="4" max="4" width="16.57421875" style="0" customWidth="1"/>
    <col min="5" max="5" width="7.421875" style="0" customWidth="1"/>
    <col min="6" max="6" width="14.7109375" style="0" customWidth="1"/>
    <col min="7" max="7" width="12.28125" style="0" customWidth="1"/>
    <col min="8" max="8" width="8.00390625" style="0" customWidth="1"/>
    <col min="9" max="9" width="6.8515625" style="0" customWidth="1"/>
    <col min="10" max="10" width="7.140625" style="0" customWidth="1"/>
    <col min="11" max="11" width="8.421875" style="0" customWidth="1"/>
    <col min="12" max="12" width="8.00390625" style="0" customWidth="1"/>
  </cols>
  <sheetData>
    <row r="1" spans="1:15" ht="12.75">
      <c r="A1" s="5" t="s">
        <v>94</v>
      </c>
      <c r="B1" s="1"/>
      <c r="C1" s="1"/>
      <c r="D1" s="1"/>
      <c r="E1" s="1"/>
      <c r="F1" s="22"/>
      <c r="G1" s="1" t="s">
        <v>111</v>
      </c>
      <c r="H1" s="1"/>
      <c r="I1" s="1"/>
      <c r="K1" s="1"/>
      <c r="L1" s="1"/>
      <c r="M1" s="1"/>
      <c r="N1" s="1"/>
      <c r="O1" s="1"/>
    </row>
    <row r="2" spans="1:15" ht="12.75">
      <c r="A2" s="6" t="s">
        <v>38</v>
      </c>
      <c r="B2" s="1"/>
      <c r="C2" s="7"/>
      <c r="D2" s="7"/>
      <c r="E2" s="7"/>
      <c r="F2" s="7"/>
      <c r="G2" s="7"/>
      <c r="H2" s="7"/>
      <c r="I2" s="8"/>
      <c r="J2" s="1"/>
      <c r="K2" s="1"/>
      <c r="L2" s="1"/>
      <c r="M2" s="1"/>
      <c r="N2" s="1"/>
      <c r="O2" s="1"/>
    </row>
    <row r="3" spans="1:15" ht="12.75">
      <c r="A3" s="6" t="s">
        <v>83</v>
      </c>
      <c r="B3" s="1"/>
      <c r="C3" s="9"/>
      <c r="D3" s="9"/>
      <c r="E3" s="9"/>
      <c r="F3" s="9"/>
      <c r="G3" s="9"/>
      <c r="H3" s="9"/>
      <c r="I3" s="10"/>
      <c r="J3" s="1"/>
      <c r="K3" s="1"/>
      <c r="L3" s="1"/>
      <c r="M3" s="1"/>
      <c r="N3" s="1"/>
      <c r="O3" s="1"/>
    </row>
    <row r="4" spans="1:15" ht="12.75">
      <c r="A4" s="11" t="s">
        <v>34</v>
      </c>
      <c r="B4" s="1"/>
      <c r="C4" s="9"/>
      <c r="D4" s="1"/>
      <c r="E4" s="1"/>
      <c r="F4" s="1"/>
      <c r="G4" s="178" t="s">
        <v>112</v>
      </c>
      <c r="H4" s="9"/>
      <c r="I4" s="10"/>
      <c r="J4" s="1"/>
      <c r="K4" s="1"/>
      <c r="L4" s="1"/>
      <c r="M4" s="1"/>
      <c r="N4" s="1"/>
      <c r="O4" s="1"/>
    </row>
    <row r="5" spans="1:15" ht="12.75">
      <c r="A5" s="6" t="s">
        <v>109</v>
      </c>
      <c r="B5" s="1"/>
      <c r="C5" s="9"/>
      <c r="D5" s="1"/>
      <c r="E5" s="11"/>
      <c r="F5" s="1"/>
      <c r="G5" s="1"/>
      <c r="H5" s="9"/>
      <c r="I5" s="10"/>
      <c r="J5" s="1"/>
      <c r="K5" s="1"/>
      <c r="L5" s="1"/>
      <c r="M5" s="1"/>
      <c r="N5" s="1"/>
      <c r="O5" s="1"/>
    </row>
    <row r="6" spans="1:15" ht="12.75">
      <c r="A6" s="1"/>
      <c r="B6" s="12" t="s">
        <v>110</v>
      </c>
      <c r="C6" s="1"/>
      <c r="D6" s="1"/>
      <c r="E6" s="1"/>
      <c r="F6" s="1"/>
      <c r="G6" s="1"/>
      <c r="H6" s="39"/>
      <c r="I6" s="1"/>
      <c r="J6" s="1"/>
      <c r="K6" s="1"/>
      <c r="L6" s="1"/>
      <c r="M6" s="1"/>
      <c r="N6" s="1"/>
      <c r="O6" s="1"/>
    </row>
    <row r="7" spans="1:15" ht="12.75">
      <c r="A7" s="1"/>
      <c r="B7" s="1"/>
      <c r="C7" s="1"/>
      <c r="D7" s="1"/>
      <c r="E7" s="1"/>
      <c r="F7" s="9"/>
      <c r="G7" s="9"/>
      <c r="H7" s="9"/>
      <c r="I7" s="10"/>
      <c r="J7" s="1"/>
      <c r="K7" s="1"/>
      <c r="L7" s="1"/>
      <c r="M7" s="1"/>
      <c r="N7" s="1"/>
      <c r="O7" s="1"/>
    </row>
    <row r="8" spans="1:15" ht="13.5" thickBot="1">
      <c r="A8" s="48" t="s">
        <v>52</v>
      </c>
      <c r="B8" s="14"/>
      <c r="C8" s="1"/>
      <c r="D8" s="1"/>
      <c r="E8" s="1"/>
      <c r="F8" s="1"/>
      <c r="G8" s="1"/>
      <c r="H8" s="1"/>
      <c r="I8" s="1"/>
      <c r="J8" s="1"/>
      <c r="K8" s="1"/>
      <c r="L8" s="1"/>
      <c r="M8" s="1"/>
      <c r="N8" s="1"/>
      <c r="O8" s="1"/>
    </row>
    <row r="9" spans="1:15" ht="12.75">
      <c r="A9" s="49" t="s">
        <v>22</v>
      </c>
      <c r="B9" s="50" t="s">
        <v>77</v>
      </c>
      <c r="C9" s="21" t="s">
        <v>4</v>
      </c>
      <c r="D9" s="1"/>
      <c r="E9" s="1"/>
      <c r="F9" s="1"/>
      <c r="G9" s="1"/>
      <c r="H9" s="1"/>
      <c r="I9" s="1"/>
      <c r="J9" s="1"/>
      <c r="K9" s="1"/>
      <c r="L9" s="1"/>
      <c r="M9" s="1"/>
      <c r="N9" s="1"/>
      <c r="O9" s="1"/>
    </row>
    <row r="10" spans="1:15" ht="12.75">
      <c r="A10" s="51" t="s">
        <v>21</v>
      </c>
      <c r="B10" s="52" t="s">
        <v>77</v>
      </c>
      <c r="C10" s="21" t="s">
        <v>90</v>
      </c>
      <c r="D10" s="1"/>
      <c r="E10" s="13" t="str">
        <f>IF($F$10=1,"Female","Male")</f>
        <v>Female</v>
      </c>
      <c r="F10" s="1">
        <f>IF($B$10="M",0,1)</f>
        <v>1</v>
      </c>
      <c r="G10" s="1"/>
      <c r="H10" s="1"/>
      <c r="I10" s="1"/>
      <c r="J10" s="1"/>
      <c r="K10" s="1"/>
      <c r="L10" s="1"/>
      <c r="M10" s="1"/>
      <c r="N10" s="1"/>
      <c r="O10" s="1"/>
    </row>
    <row r="11" spans="1:15" ht="12.75">
      <c r="A11" s="51" t="s">
        <v>20</v>
      </c>
      <c r="B11" s="53" t="s">
        <v>77</v>
      </c>
      <c r="C11" s="21" t="s">
        <v>3</v>
      </c>
      <c r="D11" s="1"/>
      <c r="E11" s="1"/>
      <c r="F11" s="1"/>
      <c r="G11" s="1"/>
      <c r="H11" s="1"/>
      <c r="I11" s="1"/>
      <c r="J11" s="1"/>
      <c r="K11" s="1"/>
      <c r="L11" s="1"/>
      <c r="M11" s="1"/>
      <c r="N11" s="1"/>
      <c r="O11" s="1"/>
    </row>
    <row r="12" spans="1:15" ht="12.75">
      <c r="A12" s="51" t="s">
        <v>35</v>
      </c>
      <c r="B12" s="54">
        <f ca="1">TODAY()</f>
        <v>40147</v>
      </c>
      <c r="C12" s="21" t="s">
        <v>3</v>
      </c>
      <c r="D12" s="1"/>
      <c r="E12" s="1"/>
      <c r="F12" s="1"/>
      <c r="G12" s="1"/>
      <c r="H12" s="1"/>
      <c r="I12" s="1"/>
      <c r="J12" s="1"/>
      <c r="K12" s="1"/>
      <c r="L12" s="1"/>
      <c r="M12" s="1"/>
      <c r="N12" s="1"/>
      <c r="O12" s="1"/>
    </row>
    <row r="13" spans="1:15" ht="12.75">
      <c r="A13" s="51" t="s">
        <v>19</v>
      </c>
      <c r="B13" s="55" t="s">
        <v>77</v>
      </c>
      <c r="C13" s="21" t="s">
        <v>78</v>
      </c>
      <c r="D13" s="1"/>
      <c r="E13" s="2" t="e">
        <f>$B$13/2.2</f>
        <v>#VALUE!</v>
      </c>
      <c r="F13" s="1" t="s">
        <v>79</v>
      </c>
      <c r="G13" s="2" t="e">
        <f>$B$13/14</f>
        <v>#VALUE!</v>
      </c>
      <c r="H13" s="1" t="s">
        <v>87</v>
      </c>
      <c r="I13" s="1"/>
      <c r="J13" s="1"/>
      <c r="K13" s="1"/>
      <c r="L13" s="1"/>
      <c r="M13" s="1"/>
      <c r="N13" s="1"/>
      <c r="O13" s="1"/>
    </row>
    <row r="14" spans="1:15" ht="12.75">
      <c r="A14" s="51" t="s">
        <v>18</v>
      </c>
      <c r="B14" s="55" t="s">
        <v>77</v>
      </c>
      <c r="C14" s="21" t="s">
        <v>5</v>
      </c>
      <c r="D14" s="1"/>
      <c r="E14" s="2" t="e">
        <f>$B$14*2.54</f>
        <v>#VALUE!</v>
      </c>
      <c r="F14" s="1" t="s">
        <v>80</v>
      </c>
      <c r="G14" s="38" t="e">
        <f>INT($B$14/12)</f>
        <v>#VALUE!</v>
      </c>
      <c r="H14" s="1" t="s">
        <v>88</v>
      </c>
      <c r="I14" s="38" t="e">
        <f>$B$14-12*$G$14</f>
        <v>#VALUE!</v>
      </c>
      <c r="J14" s="1" t="s">
        <v>89</v>
      </c>
      <c r="K14" s="1"/>
      <c r="L14" s="1"/>
      <c r="M14" s="1"/>
      <c r="N14" s="1"/>
      <c r="O14" s="1"/>
    </row>
    <row r="15" spans="1:15" ht="12.75">
      <c r="A15" s="56" t="s">
        <v>30</v>
      </c>
      <c r="B15" s="52" t="s">
        <v>77</v>
      </c>
      <c r="C15" s="21" t="s">
        <v>31</v>
      </c>
      <c r="D15" s="1"/>
      <c r="E15" s="2" t="e">
        <f>$B$15*2.54</f>
        <v>#VALUE!</v>
      </c>
      <c r="F15" s="1" t="s">
        <v>81</v>
      </c>
      <c r="G15" s="1"/>
      <c r="H15" s="1"/>
      <c r="I15" s="1"/>
      <c r="J15" s="1"/>
      <c r="K15" s="1"/>
      <c r="L15" s="1"/>
      <c r="M15" s="1"/>
      <c r="N15" s="1"/>
      <c r="O15" s="1"/>
    </row>
    <row r="16" spans="1:15" ht="12.75">
      <c r="A16" s="51" t="s">
        <v>36</v>
      </c>
      <c r="B16" s="57">
        <v>60</v>
      </c>
      <c r="C16" s="21" t="s">
        <v>82</v>
      </c>
      <c r="D16" s="1"/>
      <c r="E16" s="1"/>
      <c r="F16" s="1"/>
      <c r="G16" s="1"/>
      <c r="H16" s="1"/>
      <c r="I16" s="1"/>
      <c r="J16" s="1"/>
      <c r="K16" s="1"/>
      <c r="L16" s="1"/>
      <c r="M16" s="1"/>
      <c r="N16" s="1"/>
      <c r="O16" s="1"/>
    </row>
    <row r="17" spans="1:15" ht="13.5" thickBot="1">
      <c r="A17" s="58" t="s">
        <v>47</v>
      </c>
      <c r="B17" s="59" t="e">
        <f>(D40+F40)/2</f>
        <v>#VALUE!</v>
      </c>
      <c r="C17" s="47" t="s">
        <v>50</v>
      </c>
      <c r="D17" s="1"/>
      <c r="E17" s="1"/>
      <c r="F17" s="1"/>
      <c r="G17" s="1"/>
      <c r="H17" s="1"/>
      <c r="I17" s="1"/>
      <c r="J17" s="1"/>
      <c r="K17" s="1"/>
      <c r="L17" s="1"/>
      <c r="M17" s="1"/>
      <c r="N17" s="1"/>
      <c r="O17" s="1"/>
    </row>
    <row r="18" spans="1:15" ht="12.75">
      <c r="A18" s="17"/>
      <c r="B18" s="17"/>
      <c r="C18" s="1"/>
      <c r="D18" s="1"/>
      <c r="E18" s="1"/>
      <c r="F18" s="1"/>
      <c r="G18" s="1"/>
      <c r="H18" s="1"/>
      <c r="I18" s="1"/>
      <c r="J18" s="1"/>
      <c r="K18" s="3" t="s">
        <v>11</v>
      </c>
      <c r="L18" s="3"/>
      <c r="M18" s="1"/>
      <c r="N18" s="1"/>
      <c r="O18" s="1"/>
    </row>
    <row r="19" spans="1:17" ht="13.5" thickBot="1">
      <c r="A19" s="48" t="s">
        <v>0</v>
      </c>
      <c r="B19" s="14"/>
      <c r="C19" s="14"/>
      <c r="D19" s="14"/>
      <c r="E19" s="14"/>
      <c r="F19" s="14"/>
      <c r="G19" s="14"/>
      <c r="H19" s="1"/>
      <c r="I19" s="15" t="s">
        <v>86</v>
      </c>
      <c r="J19" s="14"/>
      <c r="K19" s="28"/>
      <c r="L19" s="28"/>
      <c r="M19" s="14"/>
      <c r="N19" s="14"/>
      <c r="O19" s="14"/>
      <c r="P19" s="25"/>
      <c r="Q19" s="25"/>
    </row>
    <row r="20" spans="1:18" ht="13.5" thickBot="1">
      <c r="A20" s="70" t="s">
        <v>105</v>
      </c>
      <c r="B20" s="71" t="s">
        <v>17</v>
      </c>
      <c r="C20" s="72"/>
      <c r="D20" s="42"/>
      <c r="E20" s="75"/>
      <c r="F20" s="75"/>
      <c r="G20" s="75"/>
      <c r="H20" s="60"/>
      <c r="I20" s="29" t="s">
        <v>28</v>
      </c>
      <c r="J20" s="30"/>
      <c r="K20" s="30"/>
      <c r="L20" s="30"/>
      <c r="M20" s="30"/>
      <c r="N20" s="30"/>
      <c r="O20" s="30"/>
      <c r="P20" s="31"/>
      <c r="Q20" s="32"/>
      <c r="R20" s="27"/>
    </row>
    <row r="21" spans="1:18" ht="13.5" thickBot="1">
      <c r="A21" s="68" t="s">
        <v>104</v>
      </c>
      <c r="B21" s="69" t="e">
        <f>($B$13/2.2)/$B$14/$B$14/2.54/2.54*10000</f>
        <v>#VALUE!</v>
      </c>
      <c r="C21" s="78" t="e">
        <f>IF($B$21&lt;18.5,"'Underweight'",IF($B$21&lt;22.5,"'LOW Normal Weight'",IF($B$21&lt;25,"'Normal Weight'",IF($B$21&lt;30,"'Overweight'",IF($B$21&lt;40,"'Obese'","'ExtremelyObese'")))))</f>
        <v>#VALUE!</v>
      </c>
      <c r="D21" s="76"/>
      <c r="E21" s="44"/>
      <c r="F21" s="44"/>
      <c r="G21" s="179" t="s">
        <v>112</v>
      </c>
      <c r="H21" s="27"/>
      <c r="I21" s="36" t="s">
        <v>32</v>
      </c>
      <c r="J21" s="33"/>
      <c r="L21" s="33"/>
      <c r="M21" s="33"/>
      <c r="N21" s="33"/>
      <c r="O21" s="33"/>
      <c r="P21" s="34"/>
      <c r="Q21" s="35"/>
      <c r="R21" s="27"/>
    </row>
    <row r="22" spans="1:18" ht="13.5" thickBot="1">
      <c r="A22" s="66" t="s">
        <v>103</v>
      </c>
      <c r="B22" s="64" t="e">
        <f>IF($B$21&lt;22.5,1.3^ABS(($B$21-22.5)/5)-1,IF($B$21&gt;25,1.3^ABS(($B$21-25)/5)-1,0))</f>
        <v>#VALUE!</v>
      </c>
      <c r="C22" s="61" t="s">
        <v>29</v>
      </c>
      <c r="D22" s="74" t="e">
        <f>IF($B$21&lt;25,IF(($B$15+5*$F$10)&lt;40,"'Normal'",IF($F$10=0,"'Not Known' ('Normal' if waist size &lt; 40 in.)","'Not Known' ('Normal' if waist size &lt; 35 in.)")),IF($B$21&lt;30,IF(($B$15+5*$F$10)&lt;40,"'Increased'",IF($F$10=0,"'High' ('Increased' if waist size &lt; 40 in.)","'High' ('Increased' if waist size &lt; 35 in.)")),IF($B$21&lt;35,IF(($B$15+5*$F$10)&lt;40,"'High'",IF($F$10=0,"'Very High' ('High' if waist size &lt; 40 in.)","'Very High' ('High' if waist size &lt; 35 in.)")),IF($B$21&lt;40,"'Very High'","'Extremely High'"))))</f>
        <v>#VALUE!</v>
      </c>
      <c r="E22" s="81"/>
      <c r="F22" s="77"/>
      <c r="G22" s="77"/>
      <c r="H22" s="41"/>
      <c r="I22" s="11" t="s">
        <v>100</v>
      </c>
      <c r="J22" s="42"/>
      <c r="K22" s="43"/>
      <c r="L22" s="42"/>
      <c r="M22" s="42"/>
      <c r="N22" s="42"/>
      <c r="O22" s="42"/>
      <c r="P22" s="44"/>
      <c r="Q22" s="44"/>
      <c r="R22" s="27"/>
    </row>
    <row r="23" spans="1:18" ht="13.5" thickBot="1">
      <c r="A23" s="67" t="e">
        <f>IF($B$21&lt;22.5,"To get to Normal, you need to gain:","To get to Normal, you need to lose:")</f>
        <v>#VALUE!</v>
      </c>
      <c r="B23" s="65"/>
      <c r="C23" s="62" t="e">
        <f>IF($B$21&lt;22.5,22.5*$B$14*$B$14*2.54*2.54/10000*2.2-$B$13,IF($B$21&lt;25,"Zero--congrats!",$B$13-25*$B$14*$B$14*2.54*2.54/10000*2.2))</f>
        <v>#VALUE!</v>
      </c>
      <c r="D23" s="63" t="s">
        <v>24</v>
      </c>
      <c r="E23" s="79" t="s">
        <v>101</v>
      </c>
      <c r="F23" s="62" t="e">
        <f>IF($B$21&lt;22.5,(22.5*$B$14*$B$14*2.54*2.54/10000*2.2-$B$13)/2.2,IF($B$21&lt;25,"Zero-congrats!",($B$13-25*$B$14*$B$14*2.54*2.54/10000*2.2)/2.2))</f>
        <v>#VALUE!</v>
      </c>
      <c r="G23" s="80" t="s">
        <v>102</v>
      </c>
      <c r="H23" s="41"/>
      <c r="I23" s="11" t="s">
        <v>113</v>
      </c>
      <c r="J23" s="42"/>
      <c r="K23" s="43"/>
      <c r="L23" s="42"/>
      <c r="M23" s="42"/>
      <c r="N23" s="42"/>
      <c r="O23" s="42"/>
      <c r="P23" s="44"/>
      <c r="Q23" s="44"/>
      <c r="R23" s="27"/>
    </row>
    <row r="24" spans="1:18" ht="13.5" thickBot="1">
      <c r="A24" s="40"/>
      <c r="B24" s="45"/>
      <c r="C24" s="46"/>
      <c r="D24" s="82"/>
      <c r="E24" s="82"/>
      <c r="F24" s="46"/>
      <c r="G24" s="83"/>
      <c r="H24" s="41"/>
      <c r="I24" s="11"/>
      <c r="J24" s="42"/>
      <c r="K24" s="43"/>
      <c r="L24" s="42"/>
      <c r="M24" s="42"/>
      <c r="N24" s="42"/>
      <c r="O24" s="42"/>
      <c r="P24" s="44"/>
      <c r="Q24" s="44"/>
      <c r="R24" s="27"/>
    </row>
    <row r="25" spans="1:18" ht="13.5" thickBot="1">
      <c r="A25" s="70" t="s">
        <v>106</v>
      </c>
      <c r="B25" s="157" t="s">
        <v>17</v>
      </c>
      <c r="C25" s="108"/>
      <c r="D25" s="109"/>
      <c r="E25" s="109"/>
      <c r="F25" s="110"/>
      <c r="G25" s="73"/>
      <c r="H25" s="111"/>
      <c r="I25" s="47"/>
      <c r="J25" s="42"/>
      <c r="K25" s="43"/>
      <c r="L25" s="42"/>
      <c r="M25" s="42"/>
      <c r="N25" s="42"/>
      <c r="O25" s="42"/>
      <c r="P25" s="44"/>
      <c r="Q25" s="44"/>
      <c r="R25" s="27"/>
    </row>
    <row r="26" spans="1:17" ht="12.75">
      <c r="A26" s="155" t="e">
        <f>IF($B$21&lt;40,"        extremely obese","-----&gt;ExtremelyObese&lt;-----")</f>
        <v>#VALUE!</v>
      </c>
      <c r="B26" s="156" t="s">
        <v>26</v>
      </c>
      <c r="C26" s="104" t="e">
        <f>40*$B$14*$B$14*2.54*2.54/10000*2.2</f>
        <v>#VALUE!</v>
      </c>
      <c r="D26" s="105" t="s">
        <v>7</v>
      </c>
      <c r="E26" s="106" t="e">
        <f>IF($B$21&lt;40," ","&lt;-----")</f>
        <v>#VALUE!</v>
      </c>
      <c r="F26" s="104" t="e">
        <f>40*$B$14*$B$14*2.54*2.54/10000</f>
        <v>#VALUE!</v>
      </c>
      <c r="G26" s="105" t="s">
        <v>9</v>
      </c>
      <c r="H26" s="107" t="e">
        <f>IF($B$21&lt;40," ","&lt;-----")</f>
        <v>#VALUE!</v>
      </c>
      <c r="I26" s="18" t="s">
        <v>33</v>
      </c>
      <c r="J26" s="17"/>
      <c r="K26" s="19"/>
      <c r="L26" s="17"/>
      <c r="M26" s="17"/>
      <c r="N26" s="17"/>
      <c r="O26" s="17"/>
      <c r="P26" s="26"/>
      <c r="Q26" s="26"/>
    </row>
    <row r="27" spans="1:15" ht="12.75">
      <c r="A27" s="150" t="e">
        <f>IF($B$21&lt;30,"        obese",IF($B$21&lt;40,"-----&gt;Obese&lt;-----","        obese"))</f>
        <v>#VALUE!</v>
      </c>
      <c r="B27" s="146" t="s">
        <v>27</v>
      </c>
      <c r="C27" s="84" t="e">
        <f>30*$B$14*$B$14*2.54*2.54/10000*2.2</f>
        <v>#VALUE!</v>
      </c>
      <c r="D27" s="85" t="e">
        <f>39.9*$B$14*$B$14*2.54*2.54/10000*2.2</f>
        <v>#VALUE!</v>
      </c>
      <c r="E27" s="86" t="e">
        <f>IF($B$21&lt;30," ",IF($B$21&lt;40,"&lt;-----"," "))</f>
        <v>#VALUE!</v>
      </c>
      <c r="F27" s="84" t="e">
        <f>30*$B$14*$B$14*2.54*2.54/10000</f>
        <v>#VALUE!</v>
      </c>
      <c r="G27" s="85" t="e">
        <f>39.9*$B$14*$B$14*2.54*2.54/10000</f>
        <v>#VALUE!</v>
      </c>
      <c r="H27" s="87" t="e">
        <f>IF($B$21&lt;30," ",IF($B$21&lt;40,"&lt;-----"," "))</f>
        <v>#VALUE!</v>
      </c>
      <c r="I27" s="8" t="s">
        <v>37</v>
      </c>
      <c r="J27" s="1"/>
      <c r="K27" s="16"/>
      <c r="L27" s="1"/>
      <c r="M27" s="1"/>
      <c r="N27" s="1"/>
      <c r="O27" s="1"/>
    </row>
    <row r="28" spans="1:15" ht="12.75">
      <c r="A28" s="151" t="e">
        <f>IF($B$21&lt;25,"        overweight",IF($B$21&lt;30,"-----&gt;Overweight&lt;-----","        overweight"))</f>
        <v>#VALUE!</v>
      </c>
      <c r="B28" s="147" t="s">
        <v>15</v>
      </c>
      <c r="C28" s="88" t="e">
        <f>25*$B$14*$B$14*2.54*2.54/10000*2.2</f>
        <v>#VALUE!</v>
      </c>
      <c r="D28" s="89" t="e">
        <f>29.9*$B$14*$B$14*2.54*2.54/10000*2.2</f>
        <v>#VALUE!</v>
      </c>
      <c r="E28" s="90" t="e">
        <f>IF($B$21&lt;25," ",IF($B$21&lt;30,"&lt;-----"," "))</f>
        <v>#VALUE!</v>
      </c>
      <c r="F28" s="88" t="e">
        <f>25*$B$14*$B$14*2.54*2.54/10000</f>
        <v>#VALUE!</v>
      </c>
      <c r="G28" s="89" t="e">
        <f>29.9*$B$14*$B$14*2.54*2.54/10000</f>
        <v>#VALUE!</v>
      </c>
      <c r="H28" s="91" t="e">
        <f>IF($B$21&lt;25," ",IF($B$21&lt;30,"&lt;-----"," "))</f>
        <v>#VALUE!</v>
      </c>
      <c r="I28" s="8" t="s">
        <v>99</v>
      </c>
      <c r="J28" s="1"/>
      <c r="K28" s="16"/>
      <c r="L28" s="1"/>
      <c r="M28" s="1"/>
      <c r="N28" s="1"/>
      <c r="O28" s="1"/>
    </row>
    <row r="29" spans="1:15" ht="12.75">
      <c r="A29" s="152" t="e">
        <f>IF($B$21&lt;22.5,"          normal weight",IF($B$21&lt;25,"----&gt;NormalWeight&lt;-----","          normal weight"))</f>
        <v>#VALUE!</v>
      </c>
      <c r="B29" s="148" t="s">
        <v>97</v>
      </c>
      <c r="C29" s="92" t="e">
        <f>22.5*$B$14*$B$14*2.54*2.54/10000*2.2</f>
        <v>#VALUE!</v>
      </c>
      <c r="D29" s="93" t="e">
        <f>25*$B$14*$B$14*2.54*2.54/10000*2.2</f>
        <v>#VALUE!</v>
      </c>
      <c r="E29" s="94" t="e">
        <f>IF($B$21&lt;22.5," ",IF($B$21&lt;25,"&lt;-----"," "))</f>
        <v>#VALUE!</v>
      </c>
      <c r="F29" s="92" t="e">
        <f>22.5*$B$14*$B$14*2.54*2.54/10000</f>
        <v>#VALUE!</v>
      </c>
      <c r="G29" s="93" t="e">
        <f>25*$B$14*$B$14*2.54*2.54/10000</f>
        <v>#VALUE!</v>
      </c>
      <c r="H29" s="95" t="e">
        <f>IF($B$21&lt;22.5," ",IF($B$21&lt;25,"&lt;-----"," "))</f>
        <v>#VALUE!</v>
      </c>
      <c r="I29" s="7" t="s">
        <v>114</v>
      </c>
      <c r="J29" s="1"/>
      <c r="K29" s="16"/>
      <c r="L29" s="1"/>
      <c r="M29" s="1"/>
      <c r="N29" s="1"/>
      <c r="O29" s="1"/>
    </row>
    <row r="30" spans="1:15" ht="12.75">
      <c r="A30" s="153" t="e">
        <f>IF($B$21&lt;18.5,"        low normal weight",IF($B$21&lt;22.5,"----&gt;LowNormalWeight&lt;-----","        low normal weight"))</f>
        <v>#VALUE!</v>
      </c>
      <c r="B30" s="149" t="s">
        <v>108</v>
      </c>
      <c r="C30" s="96" t="e">
        <f>18.5*$B$14*$B$14*2.54*2.54/10000*2.2</f>
        <v>#VALUE!</v>
      </c>
      <c r="D30" s="97" t="e">
        <f>22.5*$B$14*$B$14*2.54*2.54/10000*2.2</f>
        <v>#VALUE!</v>
      </c>
      <c r="E30" s="98" t="e">
        <f>IF($B$21&lt;18.5," ",IF($B$21&lt;22.5,"&lt;-----"," "))</f>
        <v>#VALUE!</v>
      </c>
      <c r="F30" s="96" t="e">
        <f>18.5*$B$14*$B$14*2.54*2.54/10000</f>
        <v>#VALUE!</v>
      </c>
      <c r="G30" s="97" t="e">
        <f>22.5*$B$14*$B$14*2.54*2.54/10000</f>
        <v>#VALUE!</v>
      </c>
      <c r="H30" s="99" t="e">
        <f>IF($B$21&lt;18.5," ",IF($B$21&lt;22.5,"&lt;-----"," "))</f>
        <v>#VALUE!</v>
      </c>
      <c r="I30" s="7" t="s">
        <v>98</v>
      </c>
      <c r="J30" s="1"/>
      <c r="K30" s="16"/>
      <c r="L30" s="1"/>
      <c r="M30" s="1"/>
      <c r="N30" s="1"/>
      <c r="O30" s="1"/>
    </row>
    <row r="31" spans="1:15" ht="13.5" thickBot="1">
      <c r="A31" s="154" t="e">
        <f>IF($B$21&lt;18.5,"-----&gt;Underweight&lt;-----","        underweight")</f>
        <v>#VALUE!</v>
      </c>
      <c r="B31" s="128" t="s">
        <v>16</v>
      </c>
      <c r="C31" s="100" t="s">
        <v>6</v>
      </c>
      <c r="D31" s="101" t="e">
        <f>18.5*$B$14*$B$14*2.54*2.54/10000*2.2</f>
        <v>#VALUE!</v>
      </c>
      <c r="E31" s="102" t="e">
        <f>IF($B$21&lt;18.5,"&lt;-----"," ")</f>
        <v>#VALUE!</v>
      </c>
      <c r="F31" s="100" t="s">
        <v>8</v>
      </c>
      <c r="G31" s="101" t="e">
        <f>18.5*$B$14*$B$14*2.54*2.54/10000</f>
        <v>#VALUE!</v>
      </c>
      <c r="H31" s="103" t="e">
        <f>IF($B$21&lt;18.5,"&lt;-----"," ")</f>
        <v>#VALUE!</v>
      </c>
      <c r="I31" s="8"/>
      <c r="J31" s="1"/>
      <c r="K31" s="3" t="s">
        <v>1</v>
      </c>
      <c r="L31" s="3"/>
      <c r="M31" s="1"/>
      <c r="N31" s="1"/>
      <c r="O31" s="1"/>
    </row>
    <row r="32" spans="1:15" ht="13.5" thickBot="1">
      <c r="A32" s="83"/>
      <c r="B32" s="83"/>
      <c r="C32" s="17"/>
      <c r="D32" s="17"/>
      <c r="E32" s="17"/>
      <c r="F32" s="17"/>
      <c r="G32" s="17"/>
      <c r="H32" s="17"/>
      <c r="I32" s="1"/>
      <c r="J32" s="1"/>
      <c r="K32" s="3" t="s">
        <v>1</v>
      </c>
      <c r="L32" s="3"/>
      <c r="M32" s="1"/>
      <c r="N32" s="1"/>
      <c r="O32" s="1"/>
    </row>
    <row r="33" spans="1:15" ht="13.5" thickBot="1">
      <c r="A33" s="114" t="s">
        <v>23</v>
      </c>
      <c r="B33" s="112" t="e">
        <f>($B$12-$B$11)/365.25</f>
        <v>#VALUE!</v>
      </c>
      <c r="C33" s="18" t="str">
        <f>IF($F$10=1,"Female","Male")</f>
        <v>Female</v>
      </c>
      <c r="D33" s="16"/>
      <c r="E33" s="1"/>
      <c r="F33" s="1"/>
      <c r="G33" s="19"/>
      <c r="H33" s="19"/>
      <c r="I33" s="16"/>
      <c r="J33" s="16"/>
      <c r="K33" s="3" t="s">
        <v>1</v>
      </c>
      <c r="L33" s="3"/>
      <c r="M33" s="1"/>
      <c r="N33" s="1"/>
      <c r="O33" s="1"/>
    </row>
    <row r="34" spans="1:15" ht="13.5" thickBot="1">
      <c r="A34" s="115"/>
      <c r="B34" s="113" t="e">
        <f>220-(($B$17-$B$16)*0.85+$B$16)/0.85</f>
        <v>#VALUE!</v>
      </c>
      <c r="C34" s="7" t="s">
        <v>65</v>
      </c>
      <c r="D34" s="6"/>
      <c r="E34" s="1"/>
      <c r="F34" s="1"/>
      <c r="G34" s="16"/>
      <c r="H34" s="16"/>
      <c r="I34" s="16"/>
      <c r="J34" s="16"/>
      <c r="K34" s="16"/>
      <c r="L34" s="1"/>
      <c r="M34" s="1"/>
      <c r="N34" s="1"/>
      <c r="O34" s="1"/>
    </row>
    <row r="35" spans="1:15" ht="13.5" thickBot="1">
      <c r="A35" s="83"/>
      <c r="B35" s="116"/>
      <c r="C35" s="8"/>
      <c r="D35" s="20"/>
      <c r="E35" s="6"/>
      <c r="F35" s="1"/>
      <c r="H35" s="16"/>
      <c r="I35" s="3" t="s">
        <v>11</v>
      </c>
      <c r="J35" s="3"/>
      <c r="K35" s="3" t="s">
        <v>1</v>
      </c>
      <c r="L35" s="3"/>
      <c r="M35" s="1"/>
      <c r="N35" s="1"/>
      <c r="O35" s="1"/>
    </row>
    <row r="36" spans="1:15" ht="13.5" thickBot="1">
      <c r="A36" s="145" t="s">
        <v>96</v>
      </c>
      <c r="B36" s="144" t="e">
        <f>IF($F$10=0,(($B$13*1.082)+94.42)-($B$15*4.15),(($B$13*0.732)+8.987)+(WristInches/3.14)-($B$15*0.157)-(HipsInches*0.249)+(ForearmInches*0.434))</f>
        <v>#VALUE!</v>
      </c>
      <c r="C36" s="47" t="s">
        <v>95</v>
      </c>
      <c r="D36" s="20"/>
      <c r="E36" s="6"/>
      <c r="F36" s="1"/>
      <c r="H36" s="16"/>
      <c r="I36" s="179" t="s">
        <v>112</v>
      </c>
      <c r="J36" s="3"/>
      <c r="K36" s="3" t="s">
        <v>1</v>
      </c>
      <c r="L36" s="3"/>
      <c r="M36" s="1"/>
      <c r="N36" s="1"/>
      <c r="O36" s="1"/>
    </row>
    <row r="37" spans="1:15" ht="13.5" thickBot="1">
      <c r="A37" s="83"/>
      <c r="B37" s="116"/>
      <c r="C37" s="122"/>
      <c r="D37" s="20"/>
      <c r="E37" s="6"/>
      <c r="F37" s="1"/>
      <c r="H37" s="1"/>
      <c r="I37" s="3" t="s">
        <v>1</v>
      </c>
      <c r="J37" s="3"/>
      <c r="K37" s="3" t="s">
        <v>1</v>
      </c>
      <c r="L37" s="3"/>
      <c r="M37" s="1"/>
      <c r="N37" s="1"/>
      <c r="O37" s="1"/>
    </row>
    <row r="38" spans="1:15" ht="13.5" thickBot="1">
      <c r="A38" s="123" t="s">
        <v>51</v>
      </c>
      <c r="B38" s="124"/>
      <c r="C38" s="125"/>
      <c r="D38" s="121" t="s">
        <v>25</v>
      </c>
      <c r="E38" s="14"/>
      <c r="F38" s="14"/>
      <c r="G38" s="14"/>
      <c r="H38" s="14"/>
      <c r="I38" s="28" t="s">
        <v>2</v>
      </c>
      <c r="J38" s="28"/>
      <c r="K38" s="28" t="s">
        <v>2</v>
      </c>
      <c r="L38" s="28"/>
      <c r="M38" s="1"/>
      <c r="N38" s="1"/>
      <c r="O38" s="1"/>
    </row>
    <row r="39" spans="1:15" ht="26.25" thickBot="1">
      <c r="A39" s="129" t="s">
        <v>67</v>
      </c>
      <c r="B39" s="133" t="s">
        <v>66</v>
      </c>
      <c r="C39" s="135" t="s">
        <v>54</v>
      </c>
      <c r="D39" s="136"/>
      <c r="E39" s="135" t="s">
        <v>55</v>
      </c>
      <c r="F39" s="136"/>
      <c r="G39" s="139" t="s">
        <v>68</v>
      </c>
      <c r="H39" s="140"/>
      <c r="I39" s="141" t="s">
        <v>12</v>
      </c>
      <c r="J39" s="142"/>
      <c r="K39" s="143" t="s">
        <v>71</v>
      </c>
      <c r="L39" s="127"/>
      <c r="M39" s="21"/>
      <c r="N39" s="1"/>
      <c r="O39" s="1"/>
    </row>
    <row r="40" spans="1:15" ht="12.75">
      <c r="A40" s="130" t="s">
        <v>56</v>
      </c>
      <c r="B40" s="134" t="s">
        <v>43</v>
      </c>
      <c r="C40" s="137" t="e">
        <f>((220-$B$33+6*$F$10)-$B$16)*0.9+$B$16</f>
        <v>#VALUE!</v>
      </c>
      <c r="D40" s="126" t="e">
        <f>((220-$B$33+6*$F$10)-$B$16)*1+$B$16</f>
        <v>#VALUE!</v>
      </c>
      <c r="E40" s="137" t="e">
        <f>(211.415-$B$33/2-$B$13/20+4.5*(1-$F$10))*0.8</f>
        <v>#VALUE!</v>
      </c>
      <c r="F40" s="126" t="e">
        <f>(211.415-$B$33/2-$B$13/20+4.5*(1-$F$10))*1</f>
        <v>#VALUE!</v>
      </c>
      <c r="G40" s="137" t="e">
        <f>(220-$B$33)*0.9</f>
        <v>#VALUE!</v>
      </c>
      <c r="H40" s="126" t="e">
        <f>(220-$B$33)*1</f>
        <v>#VALUE!</v>
      </c>
      <c r="I40" s="137" t="e">
        <f>(220-$B$34)*0.9</f>
        <v>#VALUE!</v>
      </c>
      <c r="J40" s="126" t="e">
        <f>(220-$B$34)*1</f>
        <v>#VALUE!</v>
      </c>
      <c r="K40" s="137" t="e">
        <f>($B$17-$B$16)*0.9+$B$16</f>
        <v>#VALUE!</v>
      </c>
      <c r="L40" s="126" t="e">
        <f>($B$17-$B$16)*1+$B$16</f>
        <v>#VALUE!</v>
      </c>
      <c r="M40" s="47" t="s">
        <v>84</v>
      </c>
      <c r="N40" s="1"/>
      <c r="O40" s="1"/>
    </row>
    <row r="41" spans="1:15" ht="13.5" thickBot="1">
      <c r="A41" s="131" t="s">
        <v>57</v>
      </c>
      <c r="B41" s="161" t="s">
        <v>42</v>
      </c>
      <c r="C41" s="162" t="e">
        <f>((220-$B$33+6*$F$10)-$B$16)*0.8+$B$16</f>
        <v>#VALUE!</v>
      </c>
      <c r="D41" s="163" t="e">
        <f>((220-$B$33+6*$F$10)-$B$16)*0.9+$B$16</f>
        <v>#VALUE!</v>
      </c>
      <c r="E41" s="162" t="e">
        <f>(211.415-$B$33/2-$B$13/20+4.5*(1-$F$10))*0.8</f>
        <v>#VALUE!</v>
      </c>
      <c r="F41" s="163" t="e">
        <f>(211.415-$B$33/2-$B$13/20+4.5*(1-$F$10))*0.9</f>
        <v>#VALUE!</v>
      </c>
      <c r="G41" s="162" t="e">
        <f>(220-$B$33)*0.8</f>
        <v>#VALUE!</v>
      </c>
      <c r="H41" s="163" t="e">
        <f>(220-$B$33)*0.9</f>
        <v>#VALUE!</v>
      </c>
      <c r="I41" s="162" t="e">
        <f>(220-$B$34)*0.8</f>
        <v>#VALUE!</v>
      </c>
      <c r="J41" s="163" t="e">
        <f>(220-$B$34)*0.9</f>
        <v>#VALUE!</v>
      </c>
      <c r="K41" s="162" t="e">
        <f>($B$17-$B$16)*0.8+$B$16</f>
        <v>#VALUE!</v>
      </c>
      <c r="L41" s="163" t="e">
        <f>($B$17-$B$16)*0.9+$B$16</f>
        <v>#VALUE!</v>
      </c>
      <c r="M41" s="21" t="s">
        <v>49</v>
      </c>
      <c r="N41" s="1"/>
      <c r="O41" s="1"/>
    </row>
    <row r="42" spans="1:15" ht="13.5" thickTop="1">
      <c r="A42" s="158" t="s">
        <v>39</v>
      </c>
      <c r="B42" s="167" t="s">
        <v>44</v>
      </c>
      <c r="C42" s="168" t="e">
        <f>((220-$B$33+6*$F$10)-$B$16)*0.7+$B$16</f>
        <v>#VALUE!</v>
      </c>
      <c r="D42" s="169" t="e">
        <f>((220-$B$33+6*$F$10)-$B$16)*0.8+$B$16</f>
        <v>#VALUE!</v>
      </c>
      <c r="E42" s="168" t="e">
        <f>(211.415-$B$33/2-$B$13/20+4.5*(1-$F$10))*0.7</f>
        <v>#VALUE!</v>
      </c>
      <c r="F42" s="169" t="e">
        <f>(211.415-$B$33/2-$B$13/20+4.5*(1-$F$10))*0.8</f>
        <v>#VALUE!</v>
      </c>
      <c r="G42" s="168" t="e">
        <f>(220-$B$33)*0.7</f>
        <v>#VALUE!</v>
      </c>
      <c r="H42" s="169" t="e">
        <f>(220-$B$33)*0.8</f>
        <v>#VALUE!</v>
      </c>
      <c r="I42" s="168" t="e">
        <f>(220-$B$34)*0.7</f>
        <v>#VALUE!</v>
      </c>
      <c r="J42" s="169" t="e">
        <f>(220-$B$34)*0.8</f>
        <v>#VALUE!</v>
      </c>
      <c r="K42" s="168" t="e">
        <f>($B$17-$B$16)*0.7+$B$16</f>
        <v>#VALUE!</v>
      </c>
      <c r="L42" s="170" t="e">
        <f>($B$17-$B$16)*0.8+$B$16</f>
        <v>#VALUE!</v>
      </c>
      <c r="M42" s="21"/>
      <c r="N42" s="1"/>
      <c r="O42" s="1"/>
    </row>
    <row r="43" spans="1:15" ht="12.75">
      <c r="A43" s="159" t="s">
        <v>40</v>
      </c>
      <c r="B43" s="171" t="s">
        <v>45</v>
      </c>
      <c r="C43" s="138" t="e">
        <f>((220-$B$33+6*$F$10)-$B$16)*0.6+$B$16</f>
        <v>#VALUE!</v>
      </c>
      <c r="D43" s="120" t="e">
        <f>((220-$B$33+6*$F$10)-$B$16)*0.7+$B$16</f>
        <v>#VALUE!</v>
      </c>
      <c r="E43" s="138" t="e">
        <f>(211.415-$B$33/2-$B$13/20+4.5*(1-$F$10))*0.6</f>
        <v>#VALUE!</v>
      </c>
      <c r="F43" s="120" t="e">
        <f>(211.415-$B$33/2-$B$13/20+4.5*(1-$F$10))*0.7</f>
        <v>#VALUE!</v>
      </c>
      <c r="G43" s="138" t="e">
        <f>(220-$B$33)*0.6</f>
        <v>#VALUE!</v>
      </c>
      <c r="H43" s="120" t="e">
        <f>(220-$B$33)*0.7</f>
        <v>#VALUE!</v>
      </c>
      <c r="I43" s="138" t="e">
        <f>(220-$B$34)*0.6</f>
        <v>#VALUE!</v>
      </c>
      <c r="J43" s="120" t="e">
        <f>(220-$B$34)*0.7</f>
        <v>#VALUE!</v>
      </c>
      <c r="K43" s="138" t="e">
        <f>($B$17-$B$16)*0.6+$B$16</f>
        <v>#VALUE!</v>
      </c>
      <c r="L43" s="172" t="e">
        <f>($B$17-$B$16)*0.7+$B$16</f>
        <v>#VALUE!</v>
      </c>
      <c r="M43" s="21" t="s">
        <v>10</v>
      </c>
      <c r="N43" s="1"/>
      <c r="O43" s="1"/>
    </row>
    <row r="44" spans="1:15" ht="13.5" thickBot="1">
      <c r="A44" s="160" t="s">
        <v>41</v>
      </c>
      <c r="B44" s="173" t="s">
        <v>46</v>
      </c>
      <c r="C44" s="174" t="e">
        <f>((220-$B$33+6*$F$10)-$B$16)*0.5+$B$16</f>
        <v>#VALUE!</v>
      </c>
      <c r="D44" s="175" t="e">
        <f>((220-$B$33+6*$F$10)-$B$16)*0.6+$B$16</f>
        <v>#VALUE!</v>
      </c>
      <c r="E44" s="174" t="e">
        <f>(211.415-$B$33/2-$B$13/20+4.5*(1-$F$10))*0.5</f>
        <v>#VALUE!</v>
      </c>
      <c r="F44" s="175" t="e">
        <f>(211.415-$B$33/2-$B$13/20+4.5*(1-$F$10))*0.6</f>
        <v>#VALUE!</v>
      </c>
      <c r="G44" s="174" t="e">
        <f>(220-$B$33)*0.5</f>
        <v>#VALUE!</v>
      </c>
      <c r="H44" s="175" t="e">
        <f>(220-$B$33)*0.6</f>
        <v>#VALUE!</v>
      </c>
      <c r="I44" s="174" t="e">
        <f>(220-$B$34)*0.5</f>
        <v>#VALUE!</v>
      </c>
      <c r="J44" s="175" t="e">
        <f>(220-$B$34)*0.6</f>
        <v>#VALUE!</v>
      </c>
      <c r="K44" s="174" t="e">
        <f>($B$17-$B$16)*0.5+$B$16</f>
        <v>#VALUE!</v>
      </c>
      <c r="L44" s="176" t="e">
        <f>($B$17-$B$16)*0.6+$B$16</f>
        <v>#VALUE!</v>
      </c>
      <c r="M44" s="21"/>
      <c r="N44" s="1"/>
      <c r="O44" s="1"/>
    </row>
    <row r="45" spans="1:15" ht="14.25" thickBot="1" thickTop="1">
      <c r="A45" s="132" t="s">
        <v>53</v>
      </c>
      <c r="B45" s="164" t="s">
        <v>48</v>
      </c>
      <c r="C45" s="165" t="e">
        <f>((220-$B$33+6*$F$10)-$B$16)*0+$B$16</f>
        <v>#VALUE!</v>
      </c>
      <c r="D45" s="166" t="e">
        <f>((220-$B$33+6*$F$10)-$B$16)*0.5+$B$16</f>
        <v>#VALUE!</v>
      </c>
      <c r="E45" s="165" t="e">
        <f>(211.415-$B$33/2-$B$13/20+4.5*(1-$F$10))*0</f>
        <v>#VALUE!</v>
      </c>
      <c r="F45" s="166" t="e">
        <f>(211.415-$B$33/2-$B$13/20+4.5*(1-$F$10))*0.5</f>
        <v>#VALUE!</v>
      </c>
      <c r="G45" s="165" t="e">
        <f>(220-$B$33)*0</f>
        <v>#VALUE!</v>
      </c>
      <c r="H45" s="166" t="e">
        <f>(220-$B$33)*0.5</f>
        <v>#VALUE!</v>
      </c>
      <c r="I45" s="165" t="e">
        <f>(220-$B$34)*0</f>
        <v>#VALUE!</v>
      </c>
      <c r="J45" s="166" t="e">
        <f>(220-$B$34)*0.5</f>
        <v>#VALUE!</v>
      </c>
      <c r="K45" s="165" t="e">
        <f>($B$17-$B$16)*0+$B$16</f>
        <v>#VALUE!</v>
      </c>
      <c r="L45" s="166" t="e">
        <f>($B$17-$B$16)*0.5+$B$16</f>
        <v>#VALUE!</v>
      </c>
      <c r="M45" s="21"/>
      <c r="N45" s="1"/>
      <c r="O45" s="1"/>
    </row>
    <row r="46" spans="1:15" ht="12.75">
      <c r="A46" s="117" t="s">
        <v>69</v>
      </c>
      <c r="B46" s="17"/>
      <c r="C46" s="118" t="s">
        <v>58</v>
      </c>
      <c r="D46" s="119"/>
      <c r="E46" s="118" t="s">
        <v>60</v>
      </c>
      <c r="F46" s="119"/>
      <c r="G46" s="118" t="s">
        <v>62</v>
      </c>
      <c r="H46" s="118"/>
      <c r="I46" s="118" t="s">
        <v>11</v>
      </c>
      <c r="J46" s="118"/>
      <c r="K46" s="118" t="s">
        <v>11</v>
      </c>
      <c r="L46" s="118"/>
      <c r="M46" s="11" t="s">
        <v>25</v>
      </c>
      <c r="N46" s="1"/>
      <c r="O46" s="1"/>
    </row>
    <row r="47" spans="1:15" ht="12.75">
      <c r="A47" s="24" t="s">
        <v>70</v>
      </c>
      <c r="B47" s="1"/>
      <c r="C47" s="3" t="s">
        <v>59</v>
      </c>
      <c r="D47" s="4"/>
      <c r="E47" s="3" t="s">
        <v>61</v>
      </c>
      <c r="F47" s="4"/>
      <c r="G47" s="3" t="s">
        <v>63</v>
      </c>
      <c r="H47" s="3"/>
      <c r="I47" s="3" t="s">
        <v>1</v>
      </c>
      <c r="J47" s="3"/>
      <c r="K47" s="3" t="s">
        <v>1</v>
      </c>
      <c r="L47" s="3"/>
      <c r="M47" s="1"/>
      <c r="N47" s="1"/>
      <c r="O47" s="1"/>
    </row>
    <row r="48" spans="1:15" ht="12.75">
      <c r="A48" s="24" t="s">
        <v>70</v>
      </c>
      <c r="B48" s="1"/>
      <c r="C48" s="3" t="s">
        <v>59</v>
      </c>
      <c r="D48" s="4"/>
      <c r="E48" s="3" t="s">
        <v>74</v>
      </c>
      <c r="F48" s="4"/>
      <c r="G48" s="3" t="s">
        <v>75</v>
      </c>
      <c r="H48" s="3"/>
      <c r="I48" s="3" t="s">
        <v>64</v>
      </c>
      <c r="J48" s="3"/>
      <c r="K48" s="3"/>
      <c r="L48" s="3"/>
      <c r="M48" s="1"/>
      <c r="N48" s="1"/>
      <c r="O48" s="1"/>
    </row>
    <row r="49" spans="1:15" ht="12.75">
      <c r="A49" s="24" t="s">
        <v>70</v>
      </c>
      <c r="B49" s="1"/>
      <c r="C49" s="3" t="s">
        <v>73</v>
      </c>
      <c r="D49" s="4"/>
      <c r="E49" s="11" t="s">
        <v>14</v>
      </c>
      <c r="F49" s="1"/>
      <c r="G49" s="1"/>
      <c r="H49" s="1"/>
      <c r="I49" s="1"/>
      <c r="J49" s="1"/>
      <c r="K49" s="1"/>
      <c r="L49" s="1"/>
      <c r="M49" s="1"/>
      <c r="N49" s="1"/>
      <c r="O49" s="1"/>
    </row>
    <row r="50" spans="1:15" ht="12.75">
      <c r="A50" s="24" t="s">
        <v>70</v>
      </c>
      <c r="B50" s="1"/>
      <c r="C50" s="11" t="s">
        <v>13</v>
      </c>
      <c r="D50" s="1"/>
      <c r="E50" s="1"/>
      <c r="F50" s="1"/>
      <c r="G50" s="3" t="s">
        <v>63</v>
      </c>
      <c r="H50" s="3"/>
      <c r="I50" s="1"/>
      <c r="J50" s="1"/>
      <c r="K50" s="1"/>
      <c r="L50" s="1"/>
      <c r="M50" s="1"/>
      <c r="N50" s="1"/>
      <c r="O50" s="1"/>
    </row>
    <row r="51" spans="1:15" ht="12.75">
      <c r="A51" s="24" t="s">
        <v>70</v>
      </c>
      <c r="B51" s="1"/>
      <c r="C51" s="3" t="s">
        <v>73</v>
      </c>
      <c r="D51" s="4"/>
      <c r="E51" s="3" t="s">
        <v>74</v>
      </c>
      <c r="F51" s="4"/>
      <c r="G51" s="3" t="s">
        <v>63</v>
      </c>
      <c r="H51" s="3"/>
      <c r="I51" s="1"/>
      <c r="J51" s="1"/>
      <c r="K51" s="1"/>
      <c r="L51" s="1"/>
      <c r="M51" s="1"/>
      <c r="N51" s="1"/>
      <c r="O51" s="1"/>
    </row>
    <row r="52" spans="1:15" ht="12.75">
      <c r="A52" s="23" t="s">
        <v>72</v>
      </c>
      <c r="B52" s="1"/>
      <c r="C52" s="37" t="s">
        <v>85</v>
      </c>
      <c r="D52" s="1"/>
      <c r="E52" s="1"/>
      <c r="F52" s="1"/>
      <c r="G52" s="3" t="s">
        <v>75</v>
      </c>
      <c r="H52" s="3"/>
      <c r="I52" s="1"/>
      <c r="J52" s="1"/>
      <c r="K52" s="1"/>
      <c r="L52" s="1"/>
      <c r="M52" s="1"/>
      <c r="N52" s="1"/>
      <c r="O52" s="1"/>
    </row>
    <row r="53" spans="1:15" ht="12.75">
      <c r="A53" s="2" t="s">
        <v>76</v>
      </c>
      <c r="B53" s="1"/>
      <c r="C53" s="1"/>
      <c r="D53" s="1"/>
      <c r="E53" s="1"/>
      <c r="F53" s="1"/>
      <c r="G53" s="1"/>
      <c r="H53" s="1"/>
      <c r="I53" s="1"/>
      <c r="J53" s="1"/>
      <c r="K53" s="1"/>
      <c r="L53" s="1"/>
      <c r="M53" s="1"/>
      <c r="N53" s="1"/>
      <c r="O53" s="1"/>
    </row>
    <row r="55" spans="1:8" ht="12.75">
      <c r="A55" s="37" t="s">
        <v>91</v>
      </c>
      <c r="H55" s="179" t="s">
        <v>112</v>
      </c>
    </row>
    <row r="56" ht="12.75">
      <c r="A56" s="11" t="s">
        <v>93</v>
      </c>
    </row>
    <row r="57" ht="12.75">
      <c r="A57" s="11" t="s">
        <v>92</v>
      </c>
    </row>
    <row r="58" ht="12.75">
      <c r="A58" s="177" t="s">
        <v>107</v>
      </c>
    </row>
    <row r="59" spans="1:7" ht="12.75">
      <c r="A59" s="1"/>
      <c r="B59" s="1"/>
      <c r="C59" s="1"/>
      <c r="D59" s="1"/>
      <c r="E59" s="1"/>
      <c r="F59" s="1"/>
      <c r="G59" s="1"/>
    </row>
    <row r="60" spans="1:7" ht="12.75">
      <c r="A60" s="1"/>
      <c r="B60" s="1"/>
      <c r="C60" s="1"/>
      <c r="D60" s="1"/>
      <c r="E60" s="1"/>
      <c r="F60" s="1"/>
      <c r="G60" s="1"/>
    </row>
    <row r="61" spans="1:7" ht="12.75">
      <c r="A61" s="1"/>
      <c r="B61" s="1"/>
      <c r="C61" s="1"/>
      <c r="D61" s="1"/>
      <c r="E61" s="1"/>
      <c r="F61" s="1"/>
      <c r="G61" s="1"/>
    </row>
  </sheetData>
  <sheetProtection sheet="1" objects="1" scenarios="1"/>
  <dataValidations count="8">
    <dataValidation type="date" operator="lessThanOrEqual" showErrorMessage="1" promptTitle="Birthdate" prompt="Enter your birthdate, in any format" errorTitle="Invalid Birthdate" error="Enter your birthdate, in any format, no later than the Date of Analysis." sqref="B11">
      <formula1>B12</formula1>
    </dataValidation>
    <dataValidation type="date" operator="greaterThanOrEqual" showErrorMessage="1" errorTitle="Invalid Analysis Date" error="Please enter a date, in any format, newer than the Birthdate." sqref="B12">
      <formula1>B11</formula1>
    </dataValidation>
    <dataValidation type="list" operator="equal" showErrorMessage="1" promptTitle="S" prompt="Enter an M or an F" errorTitle="Invalid Sex" error="Please enter or select from the drop-down &quot;F&quot; or &quot;M&quot;." sqref="B10">
      <formula1>"F,M"</formula1>
    </dataValidation>
    <dataValidation type="decimal" operator="greaterThan" showInputMessage="1" showErrorMessage="1" errorTitle="Invalid Weight" error="Please enter your weight, in pounds, or kg/2.2." sqref="B13">
      <formula1>0</formula1>
    </dataValidation>
    <dataValidation type="decimal" operator="greaterThan" showInputMessage="1" showErrorMessage="1" errorTitle="Invalid Height" error="Enter your height, in inches, or cm*2.54." sqref="B14">
      <formula1>0</formula1>
    </dataValidation>
    <dataValidation type="decimal" operator="greaterThan" showInputMessage="1" showErrorMessage="1" errorTitle="Invalid Waist Size" error="Please enter the circumfrance of your waist, in inches, or cm*2.54." sqref="B15">
      <formula1>6</formula1>
    </dataValidation>
    <dataValidation type="decimal" showInputMessage="1" showErrorMessage="1" errorTitle="Invalid Resting Heart Rate" error="Enter your heart rate from when you wake up, if you know it, or estimate as &quot;60&quot; if you don't." sqref="B16">
      <formula1>30</formula1>
      <formula2>100</formula2>
    </dataValidation>
    <dataValidation type="decimal" showErrorMessage="1" sqref="B17">
      <formula1>60</formula1>
      <formula2>240</formula2>
    </dataValidation>
  </dataValidations>
  <hyperlinks>
    <hyperlink ref="A4" r:id="rId1" display="http://home.earthlink.net/~vtg1/heartrain_faq.htm"/>
    <hyperlink ref="I20" r:id="rId2" display="www.cdc.gov/growthcharts"/>
    <hyperlink ref="I21" r:id="rId3" display="www.consumer.gov/weightloss/bmi.htm"/>
    <hyperlink ref="C17" r:id="rId4" display="http://home.hia.no/~stephens/vo2max.htm"/>
    <hyperlink ref="M46" r:id="rId5" display="http://home.hia.no/~stephens/exphys.htm"/>
    <hyperlink ref="M40" r:id="rId6" display="http://home.hia.no/~stephens/vo2max.htm"/>
    <hyperlink ref="C50" r:id="rId7" display="http://home.hia.no/~stephens/exphys.htm"/>
    <hyperlink ref="E49" r:id="rId8" display="http://home.hia.no/~stephens/vo2max.htm"/>
    <hyperlink ref="D38" r:id="rId9" display="http://home.hia.no/~stephens/exphys.htm"/>
    <hyperlink ref="C52" r:id="rId10" display="www.spinning.com"/>
    <hyperlink ref="I19" r:id="rId11" display="www.cdc.gov/nccdphp/dnpa/bmi/bmi-for-age.htm"/>
    <hyperlink ref="A55" r:id="rId12" display="For risk of CardioVascular Disease, see http://www.nzgg.org.nz/library/gl_complete/bloodpressure/table1.cfm"/>
    <hyperlink ref="A57" r:id="rId13" display="Cholesterol"/>
    <hyperlink ref="A56" r:id="rId14" display="CardioVascular Disease Calculator"/>
    <hyperlink ref="C36" r:id="rId15" display="01/03/2004 Can add body fat percentage from http://go.microsoft.com/?linkid=369783"/>
    <hyperlink ref="I22" r:id="rId16" display="http://www.thelancet.com/journals/lancet/article/PIIS0140-6736(09)60318-4/fulltext "/>
    <hyperlink ref="B6" r:id="rId17" display="Comments, contributions and requests always welcome at:  eric.piehl@gmail.com"/>
    <hyperlink ref="I23" r:id="rId18" display="BMI morality www.mindfully.org/Health/2003/Obesity-Life-Lost8jan03.htm"/>
  </hyperlinks>
  <printOptions horizontalCentered="1" verticalCentered="1"/>
  <pageMargins left="0.5" right="0.5" top="0.5" bottom="0.5" header="0.25" footer="0.25"/>
  <pageSetup fitToHeight="1" fitToWidth="1" horizontalDpi="600" verticalDpi="600" orientation="landscape" scale="60" r:id="rId19"/>
  <headerFooter alignWithMargins="0">
    <oddHeader>&amp;L&amp;Z&amp;F&amp;R&amp;D</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Eric Piehl</cp:lastModifiedBy>
  <cp:lastPrinted>2009-03-22T04:36:10Z</cp:lastPrinted>
  <dcterms:created xsi:type="dcterms:W3CDTF">2002-06-04T17:20:38Z</dcterms:created>
  <dcterms:modified xsi:type="dcterms:W3CDTF">2009-12-01T04:26:54Z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